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77 сесія РІШЕННЯ 23.12.2025\"/>
    </mc:Choice>
  </mc:AlternateContent>
  <xr:revisionPtr revIDLastSave="0" documentId="13_ncr:1_{C4293FB1-8313-44FE-8457-60685C018E99}" xr6:coauthVersionLast="45" xr6:coauthVersionMax="45" xr10:uidLastSave="{00000000-0000-0000-0000-000000000000}"/>
  <bookViews>
    <workbookView xWindow="-108" yWindow="-108" windowWidth="23256" windowHeight="12576" xr2:uid="{5C9972E2-DFAF-4429-BC30-7058B3A19B8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238" i="1" l="1"/>
  <c r="C238" i="1"/>
  <c r="Q237" i="1"/>
  <c r="C237" i="1"/>
  <c r="Q236" i="1"/>
  <c r="C236" i="1"/>
  <c r="Q235" i="1"/>
  <c r="C235" i="1"/>
  <c r="C239" i="1" s="1"/>
  <c r="F232" i="1"/>
  <c r="E232" i="1"/>
  <c r="C232" i="1"/>
  <c r="P231" i="1"/>
  <c r="P232" i="1" s="1"/>
  <c r="I231" i="1"/>
  <c r="I232" i="1" s="1"/>
  <c r="G231" i="1"/>
  <c r="R230" i="1"/>
  <c r="L230" i="1"/>
  <c r="L232" i="1" s="1"/>
  <c r="G230" i="1"/>
  <c r="K230" i="1" s="1"/>
  <c r="K232" i="1" s="1"/>
  <c r="G228" i="1"/>
  <c r="F228" i="1"/>
  <c r="E228" i="1"/>
  <c r="C228" i="1"/>
  <c r="K227" i="1"/>
  <c r="K228" i="1" s="1"/>
  <c r="G227" i="1"/>
  <c r="F225" i="1"/>
  <c r="E225" i="1"/>
  <c r="G225" i="1" s="1"/>
  <c r="C225" i="1"/>
  <c r="P224" i="1"/>
  <c r="P225" i="1" s="1"/>
  <c r="G224" i="1"/>
  <c r="I224" i="1" s="1"/>
  <c r="I225" i="1" s="1"/>
  <c r="S223" i="1"/>
  <c r="G223" i="1"/>
  <c r="K223" i="1" s="1"/>
  <c r="F221" i="1"/>
  <c r="E221" i="1"/>
  <c r="C221" i="1"/>
  <c r="R220" i="1"/>
  <c r="S220" i="1" s="1"/>
  <c r="P220" i="1"/>
  <c r="G220" i="1"/>
  <c r="E220" i="1"/>
  <c r="G219" i="1"/>
  <c r="I218" i="1"/>
  <c r="G218" i="1"/>
  <c r="S217" i="1"/>
  <c r="K217" i="1"/>
  <c r="L217" i="1" s="1"/>
  <c r="G217" i="1"/>
  <c r="G215" i="1"/>
  <c r="F215" i="1"/>
  <c r="E215" i="1"/>
  <c r="C215" i="1"/>
  <c r="G214" i="1"/>
  <c r="P214" i="1" s="1"/>
  <c r="R214" i="1" s="1"/>
  <c r="S214" i="1" s="1"/>
  <c r="G213" i="1"/>
  <c r="G212" i="1"/>
  <c r="G210" i="1"/>
  <c r="F210" i="1"/>
  <c r="E210" i="1"/>
  <c r="C210" i="1"/>
  <c r="G209" i="1"/>
  <c r="S208" i="1"/>
  <c r="K208" i="1"/>
  <c r="G208" i="1"/>
  <c r="P206" i="1"/>
  <c r="G206" i="1"/>
  <c r="F206" i="1"/>
  <c r="E206" i="1"/>
  <c r="C206" i="1"/>
  <c r="S205" i="1"/>
  <c r="R205" i="1"/>
  <c r="P205" i="1"/>
  <c r="G205" i="1"/>
  <c r="S204" i="1"/>
  <c r="R204" i="1"/>
  <c r="P204" i="1"/>
  <c r="G204" i="1"/>
  <c r="I204" i="1" s="1"/>
  <c r="I206" i="1" s="1"/>
  <c r="K203" i="1"/>
  <c r="K206" i="1" s="1"/>
  <c r="G203" i="1"/>
  <c r="P201" i="1"/>
  <c r="G201" i="1"/>
  <c r="F201" i="1"/>
  <c r="E201" i="1"/>
  <c r="C201" i="1"/>
  <c r="S200" i="1"/>
  <c r="R200" i="1"/>
  <c r="P200" i="1"/>
  <c r="G200" i="1"/>
  <c r="S199" i="1"/>
  <c r="R199" i="1"/>
  <c r="P199" i="1"/>
  <c r="G199" i="1"/>
  <c r="I199" i="1" s="1"/>
  <c r="I201" i="1" s="1"/>
  <c r="K198" i="1"/>
  <c r="K201" i="1" s="1"/>
  <c r="G198" i="1"/>
  <c r="G196" i="1"/>
  <c r="E196" i="1"/>
  <c r="C196" i="1"/>
  <c r="P195" i="1"/>
  <c r="G195" i="1"/>
  <c r="P194" i="1"/>
  <c r="I194" i="1"/>
  <c r="G194" i="1"/>
  <c r="L193" i="1"/>
  <c r="L196" i="1" s="1"/>
  <c r="G193" i="1"/>
  <c r="K193" i="1" s="1"/>
  <c r="K196" i="1" s="1"/>
  <c r="L191" i="1"/>
  <c r="K191" i="1"/>
  <c r="E191" i="1"/>
  <c r="G191" i="1" s="1"/>
  <c r="C191" i="1"/>
  <c r="S190" i="1"/>
  <c r="P190" i="1"/>
  <c r="R190" i="1" s="1"/>
  <c r="G190" i="1"/>
  <c r="P189" i="1"/>
  <c r="P191" i="1" s="1"/>
  <c r="I189" i="1"/>
  <c r="G189" i="1"/>
  <c r="S188" i="1"/>
  <c r="L188" i="1"/>
  <c r="K188" i="1"/>
  <c r="G188" i="1"/>
  <c r="M185" i="1"/>
  <c r="I185" i="1"/>
  <c r="C185" i="1"/>
  <c r="P184" i="1"/>
  <c r="P185" i="1" s="1"/>
  <c r="I184" i="1"/>
  <c r="G184" i="1"/>
  <c r="R183" i="1"/>
  <c r="S183" i="1" s="1"/>
  <c r="L183" i="1"/>
  <c r="K183" i="1"/>
  <c r="K185" i="1" s="1"/>
  <c r="G183" i="1"/>
  <c r="E182" i="1"/>
  <c r="P180" i="1"/>
  <c r="O180" i="1"/>
  <c r="I180" i="1"/>
  <c r="C180" i="1"/>
  <c r="S179" i="1"/>
  <c r="R179" i="1"/>
  <c r="G179" i="1"/>
  <c r="P179" i="1" s="1"/>
  <c r="S178" i="1"/>
  <c r="R178" i="1"/>
  <c r="I178" i="1"/>
  <c r="G178" i="1"/>
  <c r="P178" i="1" s="1"/>
  <c r="L177" i="1"/>
  <c r="K177" i="1"/>
  <c r="G177" i="1"/>
  <c r="E177" i="1"/>
  <c r="G176" i="1"/>
  <c r="G175" i="1"/>
  <c r="G174" i="1"/>
  <c r="E174" i="1"/>
  <c r="E180" i="1" s="1"/>
  <c r="G173" i="1"/>
  <c r="F173" i="1"/>
  <c r="F180" i="1" s="1"/>
  <c r="O171" i="1"/>
  <c r="F171" i="1"/>
  <c r="C171" i="1"/>
  <c r="G170" i="1"/>
  <c r="P170" i="1" s="1"/>
  <c r="I169" i="1"/>
  <c r="I171" i="1" s="1"/>
  <c r="G169" i="1"/>
  <c r="G168" i="1"/>
  <c r="K167" i="1"/>
  <c r="G167" i="1"/>
  <c r="G166" i="1"/>
  <c r="F166" i="1"/>
  <c r="E166" i="1"/>
  <c r="E171" i="1" s="1"/>
  <c r="O164" i="1"/>
  <c r="M164" i="1"/>
  <c r="I164" i="1"/>
  <c r="E164" i="1"/>
  <c r="G164" i="1" s="1"/>
  <c r="C164" i="1"/>
  <c r="R163" i="1"/>
  <c r="S163" i="1" s="1"/>
  <c r="G163" i="1"/>
  <c r="P163" i="1" s="1"/>
  <c r="R162" i="1"/>
  <c r="S162" i="1" s="1"/>
  <c r="P162" i="1"/>
  <c r="P164" i="1" s="1"/>
  <c r="I162" i="1"/>
  <c r="G162" i="1"/>
  <c r="G161" i="1"/>
  <c r="E161" i="1"/>
  <c r="K160" i="1"/>
  <c r="G160" i="1"/>
  <c r="E160" i="1"/>
  <c r="R159" i="1"/>
  <c r="S159" i="1" s="1"/>
  <c r="L159" i="1"/>
  <c r="G159" i="1"/>
  <c r="K159" i="1" s="1"/>
  <c r="E159" i="1"/>
  <c r="F159" i="1" s="1"/>
  <c r="F164" i="1" s="1"/>
  <c r="O157" i="1"/>
  <c r="M157" i="1"/>
  <c r="F157" i="1"/>
  <c r="C157" i="1"/>
  <c r="P156" i="1"/>
  <c r="P157" i="1" s="1"/>
  <c r="I156" i="1"/>
  <c r="G156" i="1"/>
  <c r="L155" i="1"/>
  <c r="R155" i="1" s="1"/>
  <c r="S155" i="1" s="1"/>
  <c r="G155" i="1"/>
  <c r="K155" i="1" s="1"/>
  <c r="K154" i="1"/>
  <c r="L154" i="1" s="1"/>
  <c r="E154" i="1"/>
  <c r="G154" i="1" s="1"/>
  <c r="K153" i="1"/>
  <c r="K157" i="1" s="1"/>
  <c r="G153" i="1"/>
  <c r="F153" i="1"/>
  <c r="E153" i="1"/>
  <c r="I151" i="1"/>
  <c r="C151" i="1"/>
  <c r="P150" i="1"/>
  <c r="G150" i="1"/>
  <c r="P149" i="1"/>
  <c r="G149" i="1"/>
  <c r="E149" i="1"/>
  <c r="E151" i="1" s="1"/>
  <c r="P148" i="1"/>
  <c r="P151" i="1" s="1"/>
  <c r="I148" i="1"/>
  <c r="G148" i="1"/>
  <c r="R147" i="1"/>
  <c r="S147" i="1" s="1"/>
  <c r="L147" i="1"/>
  <c r="G147" i="1"/>
  <c r="K147" i="1" s="1"/>
  <c r="F146" i="1"/>
  <c r="E146" i="1"/>
  <c r="C144" i="1"/>
  <c r="N143" i="1"/>
  <c r="E143" i="1"/>
  <c r="N142" i="1"/>
  <c r="N144" i="1" s="1"/>
  <c r="G142" i="1"/>
  <c r="E142" i="1"/>
  <c r="P140" i="1"/>
  <c r="O140" i="1"/>
  <c r="M140" i="1"/>
  <c r="C140" i="1"/>
  <c r="P139" i="1"/>
  <c r="I139" i="1"/>
  <c r="G139" i="1"/>
  <c r="E139" i="1"/>
  <c r="G138" i="1"/>
  <c r="G137" i="1"/>
  <c r="E136" i="1"/>
  <c r="G135" i="1"/>
  <c r="K134" i="1"/>
  <c r="G134" i="1"/>
  <c r="K133" i="1"/>
  <c r="L133" i="1" s="1"/>
  <c r="G133" i="1"/>
  <c r="E133" i="1"/>
  <c r="S132" i="1"/>
  <c r="S131" i="1"/>
  <c r="L130" i="1"/>
  <c r="K130" i="1"/>
  <c r="G130" i="1"/>
  <c r="F130" i="1"/>
  <c r="F129" i="1"/>
  <c r="F140" i="1" s="1"/>
  <c r="C127" i="1"/>
  <c r="N126" i="1"/>
  <c r="N127" i="1" s="1"/>
  <c r="E126" i="1"/>
  <c r="N125" i="1"/>
  <c r="E125" i="1"/>
  <c r="E124" i="1"/>
  <c r="G123" i="1"/>
  <c r="F123" i="1"/>
  <c r="E123" i="1"/>
  <c r="G120" i="1"/>
  <c r="F120" i="1"/>
  <c r="E120" i="1"/>
  <c r="G119" i="1"/>
  <c r="G121" i="1" s="1"/>
  <c r="F119" i="1"/>
  <c r="F121" i="1" s="1"/>
  <c r="E119" i="1"/>
  <c r="E121" i="1" s="1"/>
  <c r="C117" i="1"/>
  <c r="E116" i="1"/>
  <c r="E115" i="1"/>
  <c r="E117" i="1" s="1"/>
  <c r="G114" i="1"/>
  <c r="F114" i="1"/>
  <c r="F113" i="1"/>
  <c r="E113" i="1"/>
  <c r="C111" i="1"/>
  <c r="G110" i="1"/>
  <c r="I110" i="1" s="1"/>
  <c r="E110" i="1"/>
  <c r="P109" i="1"/>
  <c r="G109" i="1"/>
  <c r="E108" i="1"/>
  <c r="E107" i="1"/>
  <c r="G107" i="1" s="1"/>
  <c r="G106" i="1"/>
  <c r="E106" i="1"/>
  <c r="G105" i="1"/>
  <c r="K104" i="1"/>
  <c r="G104" i="1"/>
  <c r="F104" i="1"/>
  <c r="L103" i="1"/>
  <c r="R103" i="1" s="1"/>
  <c r="S103" i="1" s="1"/>
  <c r="E103" i="1"/>
  <c r="G103" i="1" s="1"/>
  <c r="K103" i="1" s="1"/>
  <c r="G102" i="1"/>
  <c r="E102" i="1"/>
  <c r="E101" i="1"/>
  <c r="G101" i="1" s="1"/>
  <c r="K101" i="1" s="1"/>
  <c r="G100" i="1"/>
  <c r="K100" i="1" s="1"/>
  <c r="E100" i="1"/>
  <c r="L99" i="1"/>
  <c r="R99" i="1" s="1"/>
  <c r="S99" i="1" s="1"/>
  <c r="K99" i="1"/>
  <c r="G99" i="1"/>
  <c r="G98" i="1"/>
  <c r="G97" i="1"/>
  <c r="K96" i="1"/>
  <c r="L96" i="1" s="1"/>
  <c r="G96" i="1"/>
  <c r="L95" i="1"/>
  <c r="R95" i="1" s="1"/>
  <c r="S95" i="1" s="1"/>
  <c r="K95" i="1"/>
  <c r="G95" i="1"/>
  <c r="G94" i="1"/>
  <c r="G93" i="1"/>
  <c r="E93" i="1"/>
  <c r="E92" i="1"/>
  <c r="G92" i="1" s="1"/>
  <c r="K92" i="1" s="1"/>
  <c r="G91" i="1"/>
  <c r="E91" i="1"/>
  <c r="E90" i="1"/>
  <c r="L89" i="1"/>
  <c r="K89" i="1"/>
  <c r="G89" i="1"/>
  <c r="F89" i="1"/>
  <c r="E88" i="1"/>
  <c r="G88" i="1" s="1"/>
  <c r="L87" i="1"/>
  <c r="K87" i="1"/>
  <c r="G87" i="1"/>
  <c r="E87" i="1"/>
  <c r="G86" i="1"/>
  <c r="K85" i="1"/>
  <c r="G85" i="1"/>
  <c r="F85" i="1"/>
  <c r="L84" i="1"/>
  <c r="R84" i="1" s="1"/>
  <c r="S84" i="1" s="1"/>
  <c r="K84" i="1"/>
  <c r="G84" i="1"/>
  <c r="F83" i="1"/>
  <c r="N81" i="1"/>
  <c r="N233" i="1" s="1"/>
  <c r="C81" i="1"/>
  <c r="G80" i="1"/>
  <c r="G79" i="1"/>
  <c r="N78" i="1"/>
  <c r="I78" i="1"/>
  <c r="R78" i="1" s="1"/>
  <c r="G78" i="1"/>
  <c r="P78" i="1" s="1"/>
  <c r="E78" i="1"/>
  <c r="G77" i="1"/>
  <c r="K77" i="1" s="1"/>
  <c r="N76" i="1"/>
  <c r="G76" i="1"/>
  <c r="E76" i="1"/>
  <c r="G75" i="1"/>
  <c r="F75" i="1"/>
  <c r="K74" i="1"/>
  <c r="E74" i="1"/>
  <c r="G74" i="1" s="1"/>
  <c r="N73" i="1"/>
  <c r="G73" i="1"/>
  <c r="E73" i="1"/>
  <c r="G72" i="1"/>
  <c r="E72" i="1"/>
  <c r="K71" i="1"/>
  <c r="L71" i="1" s="1"/>
  <c r="G71" i="1"/>
  <c r="E71" i="1"/>
  <c r="E70" i="1"/>
  <c r="G70" i="1" s="1"/>
  <c r="E69" i="1"/>
  <c r="G69" i="1" s="1"/>
  <c r="N68" i="1"/>
  <c r="E68" i="1"/>
  <c r="G68" i="1" s="1"/>
  <c r="G67" i="1"/>
  <c r="E67" i="1"/>
  <c r="G66" i="1"/>
  <c r="K66" i="1" s="1"/>
  <c r="G65" i="1"/>
  <c r="G64" i="1"/>
  <c r="E64" i="1"/>
  <c r="F63" i="1"/>
  <c r="F81" i="1" s="1"/>
  <c r="Q60" i="1"/>
  <c r="Q233" i="1" s="1"/>
  <c r="E60" i="1"/>
  <c r="G59" i="1"/>
  <c r="F58" i="1"/>
  <c r="G58" i="1" s="1"/>
  <c r="F57" i="1"/>
  <c r="G57" i="1" s="1"/>
  <c r="E56" i="1"/>
  <c r="C54" i="1"/>
  <c r="K53" i="1"/>
  <c r="L53" i="1" s="1"/>
  <c r="R53" i="1" s="1"/>
  <c r="S53" i="1" s="1"/>
  <c r="G53" i="1"/>
  <c r="P52" i="1"/>
  <c r="G52" i="1"/>
  <c r="O51" i="1"/>
  <c r="K50" i="1"/>
  <c r="G49" i="1"/>
  <c r="E49" i="1"/>
  <c r="E48" i="1"/>
  <c r="G48" i="1" s="1"/>
  <c r="C46" i="1"/>
  <c r="G45" i="1"/>
  <c r="E45" i="1"/>
  <c r="E44" i="1"/>
  <c r="E46" i="1" s="1"/>
  <c r="S43" i="1"/>
  <c r="P43" i="1"/>
  <c r="R43" i="1" s="1"/>
  <c r="E41" i="1"/>
  <c r="G41" i="1" s="1"/>
  <c r="C41" i="1"/>
  <c r="G40" i="1"/>
  <c r="E40" i="1"/>
  <c r="I38" i="1"/>
  <c r="C38" i="1"/>
  <c r="G37" i="1"/>
  <c r="P37" i="1" s="1"/>
  <c r="R37" i="1" s="1"/>
  <c r="S37" i="1" s="1"/>
  <c r="G36" i="1"/>
  <c r="P36" i="1" s="1"/>
  <c r="R36" i="1" s="1"/>
  <c r="S36" i="1" s="1"/>
  <c r="P35" i="1"/>
  <c r="F35" i="1"/>
  <c r="G35" i="1" s="1"/>
  <c r="J35" i="1" s="1"/>
  <c r="J38" i="1" s="1"/>
  <c r="G34" i="1"/>
  <c r="E34" i="1"/>
  <c r="P33" i="1"/>
  <c r="E33" i="1"/>
  <c r="G33" i="1" s="1"/>
  <c r="R32" i="1"/>
  <c r="S32" i="1" s="1"/>
  <c r="E32" i="1"/>
  <c r="G32" i="1" s="1"/>
  <c r="P32" i="1" s="1"/>
  <c r="E31" i="1"/>
  <c r="G31" i="1" s="1"/>
  <c r="G30" i="1"/>
  <c r="E30" i="1"/>
  <c r="E29" i="1"/>
  <c r="E38" i="1" s="1"/>
  <c r="C27" i="1"/>
  <c r="G26" i="1"/>
  <c r="E26" i="1"/>
  <c r="O25" i="1"/>
  <c r="G25" i="1"/>
  <c r="H25" i="1" s="1"/>
  <c r="R25" i="1" s="1"/>
  <c r="S25" i="1" s="1"/>
  <c r="G24" i="1"/>
  <c r="O24" i="1" s="1"/>
  <c r="G23" i="1"/>
  <c r="E23" i="1"/>
  <c r="O22" i="1"/>
  <c r="G22" i="1"/>
  <c r="H22" i="1" s="1"/>
  <c r="R22" i="1" s="1"/>
  <c r="S22" i="1" s="1"/>
  <c r="G21" i="1"/>
  <c r="O21" i="1" s="1"/>
  <c r="G20" i="1"/>
  <c r="O19" i="1"/>
  <c r="G19" i="1"/>
  <c r="E19" i="1"/>
  <c r="E18" i="1"/>
  <c r="G18" i="1" s="1"/>
  <c r="O18" i="1" s="1"/>
  <c r="G17" i="1"/>
  <c r="E16" i="1"/>
  <c r="E15" i="1"/>
  <c r="O14" i="1"/>
  <c r="M14" i="1"/>
  <c r="P34" i="1" l="1"/>
  <c r="R34" i="1" s="1"/>
  <c r="S34" i="1" s="1"/>
  <c r="O54" i="1"/>
  <c r="R51" i="1"/>
  <c r="S51" i="1" s="1"/>
  <c r="L58" i="1"/>
  <c r="P79" i="1"/>
  <c r="R79" i="1"/>
  <c r="S79" i="1" s="1"/>
  <c r="O23" i="1"/>
  <c r="O27" i="1" s="1"/>
  <c r="O233" i="1" s="1"/>
  <c r="H23" i="1"/>
  <c r="G38" i="1"/>
  <c r="P31" i="1"/>
  <c r="R31" i="1" s="1"/>
  <c r="S31" i="1" s="1"/>
  <c r="R33" i="1"/>
  <c r="S33" i="1" s="1"/>
  <c r="F38" i="1"/>
  <c r="R40" i="1"/>
  <c r="S40" i="1" s="1"/>
  <c r="S41" i="1" s="1"/>
  <c r="P40" i="1"/>
  <c r="P41" i="1" s="1"/>
  <c r="R41" i="1" s="1"/>
  <c r="K58" i="1"/>
  <c r="R58" i="1" s="1"/>
  <c r="S58" i="1" s="1"/>
  <c r="R67" i="1"/>
  <c r="S67" i="1" s="1"/>
  <c r="K67" i="1"/>
  <c r="L67" i="1"/>
  <c r="K75" i="1"/>
  <c r="R75" i="1" s="1"/>
  <c r="S75" i="1" s="1"/>
  <c r="E238" i="1"/>
  <c r="E27" i="1"/>
  <c r="R15" i="1"/>
  <c r="S15" i="1" s="1"/>
  <c r="G15" i="1"/>
  <c r="G27" i="1" s="1"/>
  <c r="M27" i="1"/>
  <c r="M233" i="1" s="1"/>
  <c r="R14" i="1"/>
  <c r="O17" i="1"/>
  <c r="K17" i="1"/>
  <c r="H17" i="1"/>
  <c r="P54" i="1"/>
  <c r="R52" i="1"/>
  <c r="S52" i="1" s="1"/>
  <c r="P59" i="1"/>
  <c r="P60" i="1" s="1"/>
  <c r="R69" i="1"/>
  <c r="S69" i="1" s="1"/>
  <c r="L69" i="1"/>
  <c r="K69" i="1"/>
  <c r="K72" i="1"/>
  <c r="R72" i="1"/>
  <c r="S72" i="1" s="1"/>
  <c r="L72" i="1"/>
  <c r="S78" i="1"/>
  <c r="P111" i="1"/>
  <c r="R18" i="1"/>
  <c r="S18" i="1" s="1"/>
  <c r="O26" i="1"/>
  <c r="H26" i="1"/>
  <c r="R26" i="1" s="1"/>
  <c r="S26" i="1" s="1"/>
  <c r="P30" i="1"/>
  <c r="R30" i="1" s="1"/>
  <c r="S30" i="1" s="1"/>
  <c r="G56" i="1"/>
  <c r="K70" i="1"/>
  <c r="R16" i="1"/>
  <c r="S16" i="1" s="1"/>
  <c r="G16" i="1"/>
  <c r="P45" i="1"/>
  <c r="I45" i="1"/>
  <c r="I46" i="1" s="1"/>
  <c r="R49" i="1"/>
  <c r="S49" i="1" s="1"/>
  <c r="L49" i="1"/>
  <c r="L57" i="1"/>
  <c r="K57" i="1"/>
  <c r="R57" i="1" s="1"/>
  <c r="S57" i="1" s="1"/>
  <c r="K64" i="1"/>
  <c r="R19" i="1"/>
  <c r="S19" i="1" s="1"/>
  <c r="H19" i="1"/>
  <c r="R35" i="1"/>
  <c r="S35" i="1" s="1"/>
  <c r="K48" i="1"/>
  <c r="G54" i="1"/>
  <c r="L50" i="1"/>
  <c r="R50" i="1" s="1"/>
  <c r="S50" i="1" s="1"/>
  <c r="L66" i="1"/>
  <c r="R66" i="1" s="1"/>
  <c r="S66" i="1" s="1"/>
  <c r="K68" i="1"/>
  <c r="L68" i="1" s="1"/>
  <c r="R74" i="1"/>
  <c r="S74" i="1" s="1"/>
  <c r="L74" i="1"/>
  <c r="I76" i="1"/>
  <c r="L76" i="1" s="1"/>
  <c r="R76" i="1" s="1"/>
  <c r="S76" i="1" s="1"/>
  <c r="K76" i="1"/>
  <c r="L88" i="1"/>
  <c r="K88" i="1"/>
  <c r="R88" i="1" s="1"/>
  <c r="S88" i="1" s="1"/>
  <c r="K173" i="1"/>
  <c r="R173" i="1" s="1"/>
  <c r="R218" i="1"/>
  <c r="E54" i="1"/>
  <c r="E111" i="1"/>
  <c r="K98" i="1"/>
  <c r="G171" i="1"/>
  <c r="K175" i="1"/>
  <c r="L175" i="1" s="1"/>
  <c r="R212" i="1"/>
  <c r="L212" i="1"/>
  <c r="L215" i="1" s="1"/>
  <c r="K212" i="1"/>
  <c r="K215" i="1" s="1"/>
  <c r="L94" i="1"/>
  <c r="K94" i="1"/>
  <c r="R110" i="1"/>
  <c r="S110" i="1" s="1"/>
  <c r="P110" i="1"/>
  <c r="G126" i="1"/>
  <c r="P126" i="1"/>
  <c r="P127" i="1" s="1"/>
  <c r="F126" i="1"/>
  <c r="K138" i="1"/>
  <c r="R138" i="1"/>
  <c r="S138" i="1" s="1"/>
  <c r="L138" i="1"/>
  <c r="R154" i="1"/>
  <c r="S154" i="1" s="1"/>
  <c r="C233" i="1"/>
  <c r="G90" i="1"/>
  <c r="I107" i="1"/>
  <c r="F108" i="1"/>
  <c r="G108" i="1" s="1"/>
  <c r="K123" i="1"/>
  <c r="L135" i="1"/>
  <c r="H20" i="1"/>
  <c r="R20" i="1" s="1"/>
  <c r="S20" i="1" s="1"/>
  <c r="H21" i="1"/>
  <c r="R21" i="1" s="1"/>
  <c r="S21" i="1" s="1"/>
  <c r="H24" i="1"/>
  <c r="R24" i="1" s="1"/>
  <c r="S24" i="1" s="1"/>
  <c r="G44" i="1"/>
  <c r="F56" i="1"/>
  <c r="F60" i="1" s="1"/>
  <c r="G63" i="1"/>
  <c r="K65" i="1"/>
  <c r="K73" i="1"/>
  <c r="L73" i="1" s="1"/>
  <c r="I77" i="1"/>
  <c r="F111" i="1"/>
  <c r="K86" i="1"/>
  <c r="R87" i="1"/>
  <c r="S87" i="1" s="1"/>
  <c r="R89" i="1"/>
  <c r="S89" i="1" s="1"/>
  <c r="F90" i="1"/>
  <c r="L92" i="1"/>
  <c r="K93" i="1"/>
  <c r="K105" i="1"/>
  <c r="I105" i="1"/>
  <c r="K107" i="1"/>
  <c r="R109" i="1"/>
  <c r="S109" i="1" s="1"/>
  <c r="G113" i="1"/>
  <c r="L114" i="1"/>
  <c r="K120" i="1"/>
  <c r="E127" i="1"/>
  <c r="G125" i="1"/>
  <c r="G129" i="1"/>
  <c r="R130" i="1"/>
  <c r="S130" i="1" s="1"/>
  <c r="K135" i="1"/>
  <c r="R135" i="1" s="1"/>
  <c r="S135" i="1" s="1"/>
  <c r="L137" i="1"/>
  <c r="R137" i="1" s="1"/>
  <c r="S137" i="1" s="1"/>
  <c r="K137" i="1"/>
  <c r="K142" i="1"/>
  <c r="K144" i="1" s="1"/>
  <c r="R142" i="1"/>
  <c r="G144" i="1"/>
  <c r="G143" i="1"/>
  <c r="P143" i="1" s="1"/>
  <c r="P144" i="1" s="1"/>
  <c r="K168" i="1"/>
  <c r="L168" i="1" s="1"/>
  <c r="R170" i="1"/>
  <c r="S170" i="1" s="1"/>
  <c r="S230" i="1"/>
  <c r="K119" i="1"/>
  <c r="K121" i="1" s="1"/>
  <c r="R133" i="1"/>
  <c r="S133" i="1" s="1"/>
  <c r="G151" i="1"/>
  <c r="E235" i="1"/>
  <c r="R94" i="1"/>
  <c r="S94" i="1" s="1"/>
  <c r="R100" i="1"/>
  <c r="S100" i="1" s="1"/>
  <c r="L100" i="1"/>
  <c r="L101" i="1"/>
  <c r="R101" i="1" s="1"/>
  <c r="S101" i="1" s="1"/>
  <c r="K102" i="1"/>
  <c r="L102" i="1" s="1"/>
  <c r="G115" i="1"/>
  <c r="F115" i="1"/>
  <c r="F117" i="1" s="1"/>
  <c r="G117" i="1" s="1"/>
  <c r="F116" i="1"/>
  <c r="G116" i="1" s="1"/>
  <c r="I119" i="1"/>
  <c r="L119" i="1" s="1"/>
  <c r="F151" i="1"/>
  <c r="G146" i="1"/>
  <c r="L173" i="1"/>
  <c r="G29" i="1"/>
  <c r="E81" i="1"/>
  <c r="R71" i="1"/>
  <c r="S71" i="1" s="1"/>
  <c r="E236" i="1"/>
  <c r="L77" i="1"/>
  <c r="R80" i="1"/>
  <c r="S80" i="1" s="1"/>
  <c r="P80" i="1"/>
  <c r="G83" i="1"/>
  <c r="L85" i="1"/>
  <c r="R85" i="1" s="1"/>
  <c r="S85" i="1" s="1"/>
  <c r="K91" i="1"/>
  <c r="L91" i="1" s="1"/>
  <c r="R91" i="1" s="1"/>
  <c r="S91" i="1" s="1"/>
  <c r="R92" i="1"/>
  <c r="S92" i="1" s="1"/>
  <c r="R96" i="1"/>
  <c r="S96" i="1" s="1"/>
  <c r="K97" i="1"/>
  <c r="L97" i="1" s="1"/>
  <c r="R97" i="1" s="1"/>
  <c r="S97" i="1" s="1"/>
  <c r="L104" i="1"/>
  <c r="R104" i="1" s="1"/>
  <c r="S104" i="1" s="1"/>
  <c r="L105" i="1"/>
  <c r="K106" i="1"/>
  <c r="K114" i="1"/>
  <c r="R114" i="1" s="1"/>
  <c r="S114" i="1" s="1"/>
  <c r="P116" i="1"/>
  <c r="P117" i="1" s="1"/>
  <c r="I120" i="1"/>
  <c r="L120" i="1" s="1"/>
  <c r="R120" i="1" s="1"/>
  <c r="S120" i="1" s="1"/>
  <c r="F124" i="1"/>
  <c r="F127" i="1" s="1"/>
  <c r="F125" i="1"/>
  <c r="L134" i="1"/>
  <c r="R134" i="1" s="1"/>
  <c r="S134" i="1" s="1"/>
  <c r="G136" i="1"/>
  <c r="E140" i="1"/>
  <c r="L142" i="1"/>
  <c r="L144" i="1" s="1"/>
  <c r="R148" i="1"/>
  <c r="S148" i="1" s="1"/>
  <c r="R153" i="1"/>
  <c r="P196" i="1"/>
  <c r="R195" i="1"/>
  <c r="S195" i="1" s="1"/>
  <c r="E237" i="1"/>
  <c r="R139" i="1"/>
  <c r="S139" i="1" s="1"/>
  <c r="R150" i="1"/>
  <c r="S150" i="1" s="1"/>
  <c r="E157" i="1"/>
  <c r="G157" i="1" s="1"/>
  <c r="P169" i="1"/>
  <c r="P171" i="1" s="1"/>
  <c r="G180" i="1"/>
  <c r="G182" i="1"/>
  <c r="E185" i="1"/>
  <c r="G185" i="1" s="1"/>
  <c r="F182" i="1"/>
  <c r="F185" i="1" s="1"/>
  <c r="I196" i="1"/>
  <c r="R194" i="1"/>
  <c r="S194" i="1" s="1"/>
  <c r="P213" i="1"/>
  <c r="P215" i="1" s="1"/>
  <c r="I213" i="1"/>
  <c r="I215" i="1" s="1"/>
  <c r="I219" i="1"/>
  <c r="R219" i="1" s="1"/>
  <c r="S219" i="1" s="1"/>
  <c r="P219" i="1"/>
  <c r="P221" i="1" s="1"/>
  <c r="K221" i="1"/>
  <c r="E144" i="1"/>
  <c r="R149" i="1"/>
  <c r="S149" i="1" s="1"/>
  <c r="L153" i="1"/>
  <c r="L157" i="1" s="1"/>
  <c r="I157" i="1"/>
  <c r="R156" i="1"/>
  <c r="S156" i="1" s="1"/>
  <c r="R160" i="1"/>
  <c r="S160" i="1" s="1"/>
  <c r="L160" i="1"/>
  <c r="K161" i="1"/>
  <c r="L161" i="1"/>
  <c r="K166" i="1"/>
  <c r="L167" i="1"/>
  <c r="R167" i="1" s="1"/>
  <c r="S167" i="1" s="1"/>
  <c r="K174" i="1"/>
  <c r="K176" i="1"/>
  <c r="P209" i="1"/>
  <c r="P210" i="1" s="1"/>
  <c r="R209" i="1"/>
  <c r="I209" i="1"/>
  <c r="I210" i="1" s="1"/>
  <c r="K225" i="1"/>
  <c r="L223" i="1"/>
  <c r="L225" i="1" s="1"/>
  <c r="R177" i="1"/>
  <c r="S177" i="1" s="1"/>
  <c r="R184" i="1"/>
  <c r="S184" i="1" s="1"/>
  <c r="R193" i="1"/>
  <c r="L198" i="1"/>
  <c r="L203" i="1"/>
  <c r="K218" i="1"/>
  <c r="G221" i="1"/>
  <c r="R224" i="1"/>
  <c r="R231" i="1"/>
  <c r="S231" i="1" s="1"/>
  <c r="R189" i="1"/>
  <c r="I191" i="1"/>
  <c r="K210" i="1"/>
  <c r="L208" i="1"/>
  <c r="L210" i="1" s="1"/>
  <c r="L218" i="1"/>
  <c r="L221" i="1" s="1"/>
  <c r="L227" i="1"/>
  <c r="L228" i="1" s="1"/>
  <c r="G232" i="1"/>
  <c r="Q239" i="1"/>
  <c r="R116" i="1" l="1"/>
  <c r="S116" i="1" s="1"/>
  <c r="I116" i="1"/>
  <c r="R86" i="1"/>
  <c r="S86" i="1" s="1"/>
  <c r="R64" i="1"/>
  <c r="S64" i="1" s="1"/>
  <c r="R174" i="1"/>
  <c r="S174" i="1" s="1"/>
  <c r="L121" i="1"/>
  <c r="R119" i="1"/>
  <c r="K108" i="1"/>
  <c r="L108" i="1" s="1"/>
  <c r="R108" i="1" s="1"/>
  <c r="S108" i="1" s="1"/>
  <c r="S173" i="1"/>
  <c r="R196" i="1"/>
  <c r="S193" i="1"/>
  <c r="S196" i="1" s="1"/>
  <c r="R161" i="1"/>
  <c r="L182" i="1"/>
  <c r="L185" i="1" s="1"/>
  <c r="G124" i="1"/>
  <c r="R29" i="1"/>
  <c r="P29" i="1"/>
  <c r="P38" i="1" s="1"/>
  <c r="L146" i="1"/>
  <c r="L151" i="1" s="1"/>
  <c r="K146" i="1"/>
  <c r="K151" i="1" s="1"/>
  <c r="R146" i="1"/>
  <c r="E239" i="1"/>
  <c r="E241" i="1" s="1"/>
  <c r="R232" i="1"/>
  <c r="K164" i="1"/>
  <c r="L106" i="1"/>
  <c r="R106" i="1" s="1"/>
  <c r="S106" i="1" s="1"/>
  <c r="L86" i="1"/>
  <c r="G46" i="1"/>
  <c r="J44" i="1"/>
  <c r="J46" i="1" s="1"/>
  <c r="J233" i="1" s="1"/>
  <c r="P44" i="1"/>
  <c r="P46" i="1" s="1"/>
  <c r="L93" i="1"/>
  <c r="R93" i="1" s="1"/>
  <c r="S93" i="1" s="1"/>
  <c r="R175" i="1"/>
  <c r="S175" i="1" s="1"/>
  <c r="R168" i="1"/>
  <c r="S168" i="1" s="1"/>
  <c r="L98" i="1"/>
  <c r="R98" i="1" s="1"/>
  <c r="S98" i="1" s="1"/>
  <c r="L64" i="1"/>
  <c r="R45" i="1"/>
  <c r="S45" i="1" s="1"/>
  <c r="L70" i="1"/>
  <c r="R70" i="1" s="1"/>
  <c r="S70" i="1" s="1"/>
  <c r="F233" i="1"/>
  <c r="R23" i="1"/>
  <c r="S23" i="1" s="1"/>
  <c r="R225" i="1"/>
  <c r="S224" i="1"/>
  <c r="S225" i="1" s="1"/>
  <c r="R210" i="1"/>
  <c r="S209" i="1"/>
  <c r="S210" i="1" s="1"/>
  <c r="R73" i="1"/>
  <c r="S73" i="1" s="1"/>
  <c r="R191" i="1"/>
  <c r="S189" i="1"/>
  <c r="S191" i="1" s="1"/>
  <c r="L176" i="1"/>
  <c r="R176" i="1" s="1"/>
  <c r="S176" i="1" s="1"/>
  <c r="L174" i="1"/>
  <c r="L164" i="1"/>
  <c r="L107" i="1"/>
  <c r="R107" i="1" s="1"/>
  <c r="S107" i="1" s="1"/>
  <c r="L83" i="1"/>
  <c r="K83" i="1"/>
  <c r="R83" i="1" s="1"/>
  <c r="G111" i="1"/>
  <c r="I221" i="1"/>
  <c r="S232" i="1"/>
  <c r="K113" i="1"/>
  <c r="I113" i="1"/>
  <c r="L113" i="1"/>
  <c r="K63" i="1"/>
  <c r="K81" i="1" s="1"/>
  <c r="G81" i="1"/>
  <c r="R143" i="1"/>
  <c r="S143" i="1" s="1"/>
  <c r="K180" i="1"/>
  <c r="R59" i="1"/>
  <c r="S59" i="1" s="1"/>
  <c r="S14" i="1"/>
  <c r="E233" i="1"/>
  <c r="R198" i="1"/>
  <c r="L201" i="1"/>
  <c r="R227" i="1"/>
  <c r="S153" i="1"/>
  <c r="S157" i="1" s="1"/>
  <c r="R157" i="1"/>
  <c r="K136" i="1"/>
  <c r="I136" i="1"/>
  <c r="I140" i="1" s="1"/>
  <c r="R102" i="1"/>
  <c r="S102" i="1" s="1"/>
  <c r="S142" i="1"/>
  <c r="R144" i="1"/>
  <c r="I125" i="1"/>
  <c r="I127" i="1" s="1"/>
  <c r="K125" i="1"/>
  <c r="R126" i="1"/>
  <c r="I126" i="1"/>
  <c r="S218" i="1"/>
  <c r="S221" i="1" s="1"/>
  <c r="R221" i="1"/>
  <c r="G60" i="1"/>
  <c r="K56" i="1"/>
  <c r="K60" i="1" s="1"/>
  <c r="K27" i="1"/>
  <c r="R17" i="1"/>
  <c r="R27" i="1" s="1"/>
  <c r="R203" i="1"/>
  <c r="L206" i="1"/>
  <c r="K171" i="1"/>
  <c r="L166" i="1"/>
  <c r="L171" i="1" s="1"/>
  <c r="R213" i="1"/>
  <c r="S213" i="1" s="1"/>
  <c r="R169" i="1"/>
  <c r="S169" i="1" s="1"/>
  <c r="L180" i="1"/>
  <c r="I121" i="1"/>
  <c r="K115" i="1"/>
  <c r="I115" i="1"/>
  <c r="L115" i="1" s="1"/>
  <c r="L129" i="1"/>
  <c r="K129" i="1"/>
  <c r="R129" i="1"/>
  <c r="G140" i="1"/>
  <c r="I111" i="1"/>
  <c r="R105" i="1"/>
  <c r="S105" i="1" s="1"/>
  <c r="R77" i="1"/>
  <c r="S77" i="1" s="1"/>
  <c r="K90" i="1"/>
  <c r="L90" i="1"/>
  <c r="R90" i="1" s="1"/>
  <c r="S90" i="1" s="1"/>
  <c r="S212" i="1"/>
  <c r="S215" i="1" s="1"/>
  <c r="L123" i="1"/>
  <c r="I81" i="1"/>
  <c r="R68" i="1"/>
  <c r="S68" i="1" s="1"/>
  <c r="K54" i="1"/>
  <c r="L48" i="1"/>
  <c r="L54" i="1" s="1"/>
  <c r="L65" i="1"/>
  <c r="R65" i="1" s="1"/>
  <c r="S65" i="1" s="1"/>
  <c r="H27" i="1"/>
  <c r="H233" i="1" s="1"/>
  <c r="P81" i="1"/>
  <c r="R115" i="1" l="1"/>
  <c r="S115" i="1" s="1"/>
  <c r="S27" i="1"/>
  <c r="R111" i="1"/>
  <c r="S83" i="1"/>
  <c r="S111" i="1" s="1"/>
  <c r="L111" i="1"/>
  <c r="R151" i="1"/>
  <c r="S146" i="1"/>
  <c r="S151" i="1" s="1"/>
  <c r="S161" i="1"/>
  <c r="S164" i="1" s="1"/>
  <c r="R164" i="1"/>
  <c r="K140" i="1"/>
  <c r="L125" i="1"/>
  <c r="R125" i="1" s="1"/>
  <c r="S144" i="1"/>
  <c r="L136" i="1"/>
  <c r="R136" i="1" s="1"/>
  <c r="S227" i="1"/>
  <c r="S228" i="1" s="1"/>
  <c r="R228" i="1"/>
  <c r="I117" i="1"/>
  <c r="I233" i="1" s="1"/>
  <c r="L124" i="1"/>
  <c r="L127" i="1" s="1"/>
  <c r="K124" i="1"/>
  <c r="K127" i="1" s="1"/>
  <c r="G127" i="1"/>
  <c r="G233" i="1" s="1"/>
  <c r="R180" i="1"/>
  <c r="S129" i="1"/>
  <c r="S29" i="1"/>
  <c r="S38" i="1" s="1"/>
  <c r="R38" i="1"/>
  <c r="S180" i="1"/>
  <c r="L140" i="1"/>
  <c r="R206" i="1"/>
  <c r="S203" i="1"/>
  <c r="S206" i="1" s="1"/>
  <c r="R123" i="1"/>
  <c r="S126" i="1"/>
  <c r="S237" i="1" s="1"/>
  <c r="R237" i="1"/>
  <c r="K117" i="1"/>
  <c r="S119" i="1"/>
  <c r="S121" i="1" s="1"/>
  <c r="R121" i="1"/>
  <c r="S17" i="1"/>
  <c r="L117" i="1"/>
  <c r="R215" i="1"/>
  <c r="L56" i="1"/>
  <c r="R201" i="1"/>
  <c r="S198" i="1"/>
  <c r="S201" i="1" s="1"/>
  <c r="R238" i="1"/>
  <c r="L63" i="1"/>
  <c r="R113" i="1"/>
  <c r="K111" i="1"/>
  <c r="K233" i="1" s="1"/>
  <c r="R44" i="1"/>
  <c r="P233" i="1"/>
  <c r="R182" i="1"/>
  <c r="R48" i="1"/>
  <c r="R166" i="1"/>
  <c r="S125" i="1" l="1"/>
  <c r="R236" i="1"/>
  <c r="S136" i="1"/>
  <c r="S236" i="1" s="1"/>
  <c r="R140" i="1"/>
  <c r="R54" i="1"/>
  <c r="S48" i="1"/>
  <c r="R124" i="1"/>
  <c r="S124" i="1" s="1"/>
  <c r="R185" i="1"/>
  <c r="S182" i="1"/>
  <c r="S185" i="1" s="1"/>
  <c r="S113" i="1"/>
  <c r="R117" i="1"/>
  <c r="S117" i="1" s="1"/>
  <c r="R127" i="1"/>
  <c r="S123" i="1"/>
  <c r="R171" i="1"/>
  <c r="S166" i="1"/>
  <c r="S171" i="1" s="1"/>
  <c r="S44" i="1"/>
  <c r="S46" i="1" s="1"/>
  <c r="R46" i="1"/>
  <c r="L81" i="1"/>
  <c r="R63" i="1"/>
  <c r="L60" i="1"/>
  <c r="R56" i="1"/>
  <c r="S56" i="1" s="1"/>
  <c r="S60" i="1" s="1"/>
  <c r="S140" i="1" l="1"/>
  <c r="R81" i="1"/>
  <c r="S63" i="1"/>
  <c r="S81" i="1" s="1"/>
  <c r="S235" i="1"/>
  <c r="S239" i="1" s="1"/>
  <c r="S54" i="1"/>
  <c r="S233" i="1" s="1"/>
  <c r="E242" i="1" s="1"/>
  <c r="S238" i="1"/>
  <c r="L233" i="1"/>
  <c r="R60" i="1"/>
  <c r="R233" i="1" s="1"/>
  <c r="S127" i="1"/>
  <c r="R235" i="1"/>
  <c r="R239" i="1" s="1"/>
</calcChain>
</file>

<file path=xl/sharedStrings.xml><?xml version="1.0" encoding="utf-8"?>
<sst xmlns="http://schemas.openxmlformats.org/spreadsheetml/2006/main" count="426" uniqueCount="318">
  <si>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КНП "Димерська центральна  селищна лікарня"  Димерської селищної ради</t>
  </si>
  <si>
    <t>додаток №1 до рішення Димерської селищної ради</t>
  </si>
  <si>
    <t>Код ЄДРПОУ 43923918</t>
  </si>
  <si>
    <t xml:space="preserve">ФОП за місяць становить </t>
  </si>
  <si>
    <t>2740012,65 грн.</t>
  </si>
  <si>
    <t xml:space="preserve">           </t>
  </si>
  <si>
    <t>Штатний розпис   КНП "Димерська центральна селищна лікарня" Димерської селищної ради</t>
  </si>
  <si>
    <t xml:space="preserve"> </t>
  </si>
  <si>
    <t xml:space="preserve">станом на 01.01.2026 року </t>
  </si>
  <si>
    <t>Посада</t>
  </si>
  <si>
    <t>К-ть</t>
  </si>
  <si>
    <t>Розряд</t>
  </si>
  <si>
    <r>
      <t xml:space="preserve">Посадовий оклад </t>
    </r>
    <r>
      <rPr>
        <sz val="9"/>
        <rFont val="Times New Roman"/>
        <family val="1"/>
        <charset val="204"/>
      </rPr>
      <t>(пос.№859 від 19.09.1999р.</t>
    </r>
    <r>
      <rPr>
        <b/>
        <sz val="9"/>
        <rFont val="Times New Roman"/>
        <family val="1"/>
        <charset val="204"/>
      </rPr>
      <t>),грн</t>
    </r>
  </si>
  <si>
    <t>Шкідливі умови праці 15%, 20%    /Керівництво 10%     грн.</t>
  </si>
  <si>
    <t>Посадовий оклад з підвищ.        грн</t>
  </si>
  <si>
    <r>
      <t>Доплати та надбавки(</t>
    </r>
    <r>
      <rPr>
        <sz val="9"/>
        <rFont val="Times New Roman"/>
        <family val="1"/>
        <charset val="204"/>
      </rPr>
      <t>наказ №308/519(зі змінами)від 05.10.2005р</t>
    </r>
  </si>
  <si>
    <t>Надбавка за престижність праці               грн</t>
  </si>
  <si>
    <t>Доплата за науковий ступінь</t>
  </si>
  <si>
    <t>Нічні 35%</t>
  </si>
  <si>
    <r>
      <rPr>
        <b/>
        <sz val="9"/>
        <rFont val="Times New Roman"/>
        <family val="1"/>
        <charset val="204"/>
      </rPr>
      <t>Премія</t>
    </r>
    <r>
      <rPr>
        <sz val="9"/>
        <rFont val="Times New Roman"/>
        <family val="1"/>
        <charset val="204"/>
      </rPr>
      <t xml:space="preserve">  грн </t>
    </r>
  </si>
  <si>
    <t>Доплата до мінімал. з/пл. грн</t>
  </si>
  <si>
    <t>Фонд з/п на місяць           грн</t>
  </si>
  <si>
    <t>Фонд з/п з 01.01.2026-31.12.2026  грн</t>
  </si>
  <si>
    <r>
      <rPr>
        <b/>
        <sz val="9"/>
        <rFont val="Times New Roman"/>
        <family val="1"/>
        <charset val="204"/>
      </rPr>
      <t xml:space="preserve">За складність та напруж. в роботі  </t>
    </r>
    <r>
      <rPr>
        <sz val="9"/>
        <rFont val="Times New Roman"/>
        <family val="1"/>
        <charset val="204"/>
      </rPr>
      <t xml:space="preserve">  50% грн.</t>
    </r>
  </si>
  <si>
    <r>
      <rPr>
        <b/>
        <sz val="9"/>
        <rFont val="Times New Roman"/>
        <family val="1"/>
        <charset val="204"/>
      </rPr>
      <t xml:space="preserve"> дез.засоби</t>
    </r>
    <r>
      <rPr>
        <sz val="9"/>
        <rFont val="Times New Roman"/>
        <family val="1"/>
        <charset val="204"/>
      </rPr>
      <t xml:space="preserve"> 10% грн.</t>
    </r>
  </si>
  <si>
    <r>
      <rPr>
        <b/>
        <sz val="9"/>
        <rFont val="Times New Roman"/>
        <family val="1"/>
        <charset val="204"/>
      </rPr>
      <t>Дез.зас, Шкідливі умови праці-</t>
    </r>
    <r>
      <rPr>
        <sz val="9"/>
        <rFont val="Times New Roman"/>
        <family val="1"/>
        <charset val="204"/>
      </rPr>
      <t>4%, грн</t>
    </r>
  </si>
  <si>
    <r>
      <rPr>
        <b/>
        <sz val="9"/>
        <rFont val="Times New Roman"/>
        <family val="1"/>
        <charset val="204"/>
      </rPr>
      <t>Вислуга років</t>
    </r>
    <r>
      <rPr>
        <sz val="9"/>
        <rFont val="Times New Roman"/>
        <family val="1"/>
        <charset val="204"/>
      </rPr>
      <t xml:space="preserve"> (медичний стаж ) грн</t>
    </r>
  </si>
  <si>
    <t>1.АДМІНІСТРАТИВНА ЧАСТИНА</t>
  </si>
  <si>
    <t>1</t>
  </si>
  <si>
    <t xml:space="preserve">Директор </t>
  </si>
  <si>
    <t>2</t>
  </si>
  <si>
    <t xml:space="preserve">Медичний директор </t>
  </si>
  <si>
    <t>3</t>
  </si>
  <si>
    <t xml:space="preserve">Заступник директора з технічних питань                                      </t>
  </si>
  <si>
    <t>4</t>
  </si>
  <si>
    <t>Головна медична сестра</t>
  </si>
  <si>
    <t xml:space="preserve">    </t>
  </si>
  <si>
    <t>5</t>
  </si>
  <si>
    <t>Головний бухгалтер</t>
  </si>
  <si>
    <t xml:space="preserve">                    </t>
  </si>
  <si>
    <t xml:space="preserve">   </t>
  </si>
  <si>
    <t>6</t>
  </si>
  <si>
    <t>Бухгалтер</t>
  </si>
  <si>
    <t xml:space="preserve">                                    </t>
  </si>
  <si>
    <t>7</t>
  </si>
  <si>
    <t>Економіст</t>
  </si>
  <si>
    <t>8</t>
  </si>
  <si>
    <t>Фахівець з публічних закупівель</t>
  </si>
  <si>
    <t>9</t>
  </si>
  <si>
    <t>Інспектор з кадрів</t>
  </si>
  <si>
    <t>10</t>
  </si>
  <si>
    <t>Інспектор з військового обліку</t>
  </si>
  <si>
    <t>11</t>
  </si>
  <si>
    <t>Діловод</t>
  </si>
  <si>
    <t>12</t>
  </si>
  <si>
    <t>Інженер з охорони праці</t>
  </si>
  <si>
    <t>13</t>
  </si>
  <si>
    <t>Адміністратор систем</t>
  </si>
  <si>
    <t>Всього:</t>
  </si>
  <si>
    <t>2.ГОСПОДАРСЬКИЙ ВІДДІЛ</t>
  </si>
  <si>
    <t>14</t>
  </si>
  <si>
    <t>Завідувач господарства</t>
  </si>
  <si>
    <t>Оператор медичного устаткування</t>
  </si>
  <si>
    <t>15</t>
  </si>
  <si>
    <t>Комірник</t>
  </si>
  <si>
    <t>16</t>
  </si>
  <si>
    <t>Слюсар-сантехнік</t>
  </si>
  <si>
    <t>17</t>
  </si>
  <si>
    <t>Робітник з комплексного обслуговування й ремонту будинків</t>
  </si>
  <si>
    <t xml:space="preserve">Слюсар-електрик з ремонту та обслуговування електричних підйомників (ліфтів) </t>
  </si>
  <si>
    <t>18</t>
  </si>
  <si>
    <t>Машиніст із прання та ремонту спецодягу</t>
  </si>
  <si>
    <t>20</t>
  </si>
  <si>
    <t>Прибиральник територій</t>
  </si>
  <si>
    <t>21</t>
  </si>
  <si>
    <t>Електромонтер з ремонту та обслуговування електроустаткування</t>
  </si>
  <si>
    <t>2.1 ГАРАЖ</t>
  </si>
  <si>
    <t xml:space="preserve">              </t>
  </si>
  <si>
    <t>22</t>
  </si>
  <si>
    <t>Водій автотранспортних засобів</t>
  </si>
  <si>
    <t xml:space="preserve"> 2.2 Харчоблок</t>
  </si>
  <si>
    <t>25</t>
  </si>
  <si>
    <t>26</t>
  </si>
  <si>
    <t>Кухар</t>
  </si>
  <si>
    <t>27</t>
  </si>
  <si>
    <t>Кухонний робітник</t>
  </si>
  <si>
    <t>.</t>
  </si>
  <si>
    <t>3. ЗАГАЛЬНО ЛІКАРНЯНИЙ ВІДДІЛ</t>
  </si>
  <si>
    <t>28</t>
  </si>
  <si>
    <t>Психолог</t>
  </si>
  <si>
    <t>29</t>
  </si>
  <si>
    <t xml:space="preserve">Лікар - інтерн </t>
  </si>
  <si>
    <t>32</t>
  </si>
  <si>
    <t xml:space="preserve">Сестра медична </t>
  </si>
  <si>
    <t>33</t>
  </si>
  <si>
    <t xml:space="preserve">Адміністратор </t>
  </si>
  <si>
    <t>34</t>
  </si>
  <si>
    <t>Регістратор медичний</t>
  </si>
  <si>
    <t>35</t>
  </si>
  <si>
    <t>Сестра медична з дієтичного харчування</t>
  </si>
  <si>
    <t>3.1. Відділ інфекційного контролю</t>
  </si>
  <si>
    <t>36</t>
  </si>
  <si>
    <t xml:space="preserve">Завідувач </t>
  </si>
  <si>
    <t>37</t>
  </si>
  <si>
    <t>Лікар-епідеміолог</t>
  </si>
  <si>
    <t>38</t>
  </si>
  <si>
    <t>Лікар-інфекціоніст</t>
  </si>
  <si>
    <t>39</t>
  </si>
  <si>
    <t>Статистик</t>
  </si>
  <si>
    <t xml:space="preserve"> 4. ЛІКУВАЛЬНО-ДІАГНОСТИЧНЕ ВІДДІЛЕННЯ</t>
  </si>
  <si>
    <t>4.1. Стаціонарне відділення із неврологічними ліжками і центром паліативної (стаціонарної і мобільної) допомоги дорослим і дітям</t>
  </si>
  <si>
    <t>40</t>
  </si>
  <si>
    <t>Завідувач</t>
  </si>
  <si>
    <t>41</t>
  </si>
  <si>
    <t>Лікар-терапевт</t>
  </si>
  <si>
    <t>42</t>
  </si>
  <si>
    <t>Лікар-невропатолог</t>
  </si>
  <si>
    <t>43</t>
  </si>
  <si>
    <t>Лікар-анестезіолог дитячий</t>
  </si>
  <si>
    <t>44</t>
  </si>
  <si>
    <t>Лікар-анестезіолог</t>
  </si>
  <si>
    <t>45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</si>
  <si>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лікар-терапевт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</si>
  <si>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ліка-хірург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</si>
  <si>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ліка-отоларинголог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</si>
  <si>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ліка-акушер-гінеколог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</si>
  <si>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ліка-анестезіолог</t>
    </r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</si>
  <si>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лікар-ендокринолог</t>
    </r>
  </si>
  <si>
    <r>
      <rPr>
        <b/>
        <sz val="9"/>
        <rFont val="Times New Roman"/>
        <family val="1"/>
        <charset val="204"/>
      </rPr>
      <t xml:space="preserve">Черговий лікар: </t>
    </r>
    <r>
      <rPr>
        <sz val="9"/>
        <rFont val="Times New Roman"/>
        <family val="1"/>
        <charset val="204"/>
      </rPr>
      <t>лікар-невролог дитячий</t>
    </r>
  </si>
  <si>
    <t>46</t>
  </si>
  <si>
    <t>Сестра медична старша</t>
  </si>
  <si>
    <t>48</t>
  </si>
  <si>
    <t>Сестра медична</t>
  </si>
  <si>
    <t>49</t>
  </si>
  <si>
    <t>Сестра медична стаціонару (маніпуляційка)</t>
  </si>
  <si>
    <t>50</t>
  </si>
  <si>
    <t>Молодша медична сестра</t>
  </si>
  <si>
    <t>51</t>
  </si>
  <si>
    <t>Молодша медична сестра(санітарка-буфетниця)</t>
  </si>
  <si>
    <t>52</t>
  </si>
  <si>
    <t>Сестра-господиня</t>
  </si>
  <si>
    <t>4.2. КОНСУЛЬТАТИВНО-ДІАГНОСТИЧНЕ ВІДДІЛЕННЯ</t>
  </si>
  <si>
    <t>53</t>
  </si>
  <si>
    <t>54</t>
  </si>
  <si>
    <t>Лікар-акушер-гінеколог</t>
  </si>
  <si>
    <t>55</t>
  </si>
  <si>
    <t>Лікар-рентгенолог</t>
  </si>
  <si>
    <t>56</t>
  </si>
  <si>
    <t>Лікар-ортопед-травматолог</t>
  </si>
  <si>
    <t>57</t>
  </si>
  <si>
    <t>Лікар-хірург</t>
  </si>
  <si>
    <t>58</t>
  </si>
  <si>
    <t>Лікар-офтальмолог</t>
  </si>
  <si>
    <t>59</t>
  </si>
  <si>
    <t>60</t>
  </si>
  <si>
    <t>Лікар з ультразвукової діагностики</t>
  </si>
  <si>
    <t>61</t>
  </si>
  <si>
    <t>Лікар-отоларинголог</t>
  </si>
  <si>
    <t>62</t>
  </si>
  <si>
    <t>Лікар-фізичної та реабілітаційної медицини</t>
  </si>
  <si>
    <r>
      <rPr>
        <b/>
        <sz val="9"/>
        <rFont val="Times New Roman"/>
        <family val="1"/>
        <charset val="204"/>
      </rPr>
      <t>Л</t>
    </r>
    <r>
      <rPr>
        <sz val="9"/>
        <rFont val="Times New Roman"/>
        <family val="1"/>
        <charset val="204"/>
      </rPr>
      <t>ікар-невролог дитячий</t>
    </r>
  </si>
  <si>
    <t>63</t>
  </si>
  <si>
    <t>Лікар-отоларинголог дитячий</t>
  </si>
  <si>
    <t>64</t>
  </si>
  <si>
    <t>Лікар-ортопед-травматолог дитячий</t>
  </si>
  <si>
    <t>65</t>
  </si>
  <si>
    <t>Лікар-кардіолог</t>
  </si>
  <si>
    <t>Лікар-сурдолог</t>
  </si>
  <si>
    <t>66</t>
  </si>
  <si>
    <t>Лікар-стоматолог</t>
  </si>
  <si>
    <t>67</t>
  </si>
  <si>
    <t>68</t>
  </si>
  <si>
    <t>Лікар-ендокринолог</t>
  </si>
  <si>
    <t>69</t>
  </si>
  <si>
    <t>Лікар-педіатр</t>
  </si>
  <si>
    <t>70</t>
  </si>
  <si>
    <t>Лікар-гастроентеролог дитячий</t>
  </si>
  <si>
    <t>71</t>
  </si>
  <si>
    <t>72</t>
  </si>
  <si>
    <t>Сестра медична з фізіотерапії</t>
  </si>
  <si>
    <t>73</t>
  </si>
  <si>
    <t>Акушерка</t>
  </si>
  <si>
    <t>74</t>
  </si>
  <si>
    <t>75</t>
  </si>
  <si>
    <t>Сестра медична зі стоматології</t>
  </si>
  <si>
    <t>76</t>
  </si>
  <si>
    <t>Рентгенолаборант</t>
  </si>
  <si>
    <t>77</t>
  </si>
  <si>
    <t>Сестра -  господиня</t>
  </si>
  <si>
    <t>78</t>
  </si>
  <si>
    <t>4.3. КЛІНІКО-ДІАГНОСТИЧНА ЛАБОРАТОРІЯ</t>
  </si>
  <si>
    <t>79</t>
  </si>
  <si>
    <t>Лікар-лаборант</t>
  </si>
  <si>
    <t>80</t>
  </si>
  <si>
    <t>Біохімік</t>
  </si>
  <si>
    <t>81</t>
  </si>
  <si>
    <t xml:space="preserve">Лаборант                                                                    </t>
  </si>
  <si>
    <t>82</t>
  </si>
  <si>
    <t xml:space="preserve">Молодша медична сестра </t>
  </si>
  <si>
    <t xml:space="preserve">                                                                                                                           </t>
  </si>
  <si>
    <t>4.4. БАНК КРОВІ</t>
  </si>
  <si>
    <t>83</t>
  </si>
  <si>
    <t>Завідувач банку крові</t>
  </si>
  <si>
    <t>84</t>
  </si>
  <si>
    <t>Завідувач лабораторії трансфузійної імунології</t>
  </si>
  <si>
    <t>4.5. ІНФЕКЦІЙНЕ ВІДДІЛЕННЯ</t>
  </si>
  <si>
    <t>85</t>
  </si>
  <si>
    <t>86</t>
  </si>
  <si>
    <t xml:space="preserve"> 5. ЦЕНТР ПЕРВИННОЇ МЕДИКО-САНІТАРНОЇ ДОПОМОГИ      </t>
  </si>
  <si>
    <t>87</t>
  </si>
  <si>
    <t>88</t>
  </si>
  <si>
    <t xml:space="preserve">5.1.  Димерська АЗПСМ </t>
  </si>
  <si>
    <t>89</t>
  </si>
  <si>
    <t>Лікар загальної практики-сімейний лікар</t>
  </si>
  <si>
    <t>90</t>
  </si>
  <si>
    <t>Лікар - педіатр</t>
  </si>
  <si>
    <t>91</t>
  </si>
  <si>
    <t>92</t>
  </si>
  <si>
    <t>Сестра медична загальної практики-сімейної медицини</t>
  </si>
  <si>
    <t>93</t>
  </si>
  <si>
    <t>94</t>
  </si>
  <si>
    <t>Сестра медична процедурна</t>
  </si>
  <si>
    <t>95</t>
  </si>
  <si>
    <t xml:space="preserve">5.2. КАБІНЕТ ЦІЛОДОБОВОГО НАДАННЯ ПЕРВИННОЇ МЕДИЧНОЇ ДОПОМОГИ </t>
  </si>
  <si>
    <t>96</t>
  </si>
  <si>
    <t xml:space="preserve">Фельдшер </t>
  </si>
  <si>
    <t>97</t>
  </si>
  <si>
    <t xml:space="preserve">5.3. Федорівська АЗПСМ </t>
  </si>
  <si>
    <t>98</t>
  </si>
  <si>
    <t>99</t>
  </si>
  <si>
    <t>100</t>
  </si>
  <si>
    <t>101</t>
  </si>
  <si>
    <t>Машиніст котельні</t>
  </si>
  <si>
    <t>102</t>
  </si>
  <si>
    <t>Двірник</t>
  </si>
  <si>
    <t xml:space="preserve">5.4. Литвинівська АЗПСМ </t>
  </si>
  <si>
    <t>103</t>
  </si>
  <si>
    <t xml:space="preserve">Лікар загальної практики-сімейний лікар </t>
  </si>
  <si>
    <t>104</t>
  </si>
  <si>
    <t>Сестра медична загальної практики- сімейної медицини</t>
  </si>
  <si>
    <t>105</t>
  </si>
  <si>
    <t>Сестра медична патронажна</t>
  </si>
  <si>
    <t>106</t>
  </si>
  <si>
    <t xml:space="preserve">5.5. Катюжанська АЗПСМ </t>
  </si>
  <si>
    <t>107</t>
  </si>
  <si>
    <t>108</t>
  </si>
  <si>
    <t>Сестра медична загальної практики сімейної медицини</t>
  </si>
  <si>
    <t>109</t>
  </si>
  <si>
    <t>110</t>
  </si>
  <si>
    <t>111</t>
  </si>
  <si>
    <t>Реєстратор медичний</t>
  </si>
  <si>
    <t xml:space="preserve">5.6. Ясногородська АЗПСМ </t>
  </si>
  <si>
    <t>112</t>
  </si>
  <si>
    <t>113</t>
  </si>
  <si>
    <t>114</t>
  </si>
  <si>
    <t>115</t>
  </si>
  <si>
    <t>116</t>
  </si>
  <si>
    <t xml:space="preserve">5.7. Демидівська АЗПСМ </t>
  </si>
  <si>
    <t>117</t>
  </si>
  <si>
    <t>118</t>
  </si>
  <si>
    <t>119</t>
  </si>
  <si>
    <t>120</t>
  </si>
  <si>
    <t>121</t>
  </si>
  <si>
    <t>122</t>
  </si>
  <si>
    <t>123</t>
  </si>
  <si>
    <t xml:space="preserve">5.8. Козаровицька АЗПСМ   </t>
  </si>
  <si>
    <t>124</t>
  </si>
  <si>
    <t>125</t>
  </si>
  <si>
    <t>126</t>
  </si>
  <si>
    <t>Фельдшерські пункти</t>
  </si>
  <si>
    <t>5.3.1. ФП с.Сичівка</t>
  </si>
  <si>
    <t>Фельдшер</t>
  </si>
  <si>
    <t>127</t>
  </si>
  <si>
    <t>128</t>
  </si>
  <si>
    <t>Опалювач</t>
  </si>
  <si>
    <t>5.3.2. ФП с.Любимівка</t>
  </si>
  <si>
    <t>129</t>
  </si>
  <si>
    <t>130</t>
  </si>
  <si>
    <t>131</t>
  </si>
  <si>
    <t>5.5.1. ФП с.Абрамівка</t>
  </si>
  <si>
    <t>132</t>
  </si>
  <si>
    <t>133</t>
  </si>
  <si>
    <t>134</t>
  </si>
  <si>
    <t>5.5.2. ФП с.Гута-Катюжанська</t>
  </si>
  <si>
    <t>135</t>
  </si>
  <si>
    <t>136</t>
  </si>
  <si>
    <t>137</t>
  </si>
  <si>
    <t>5.5.3. ФП с.Вахівка</t>
  </si>
  <si>
    <t>141</t>
  </si>
  <si>
    <t>142</t>
  </si>
  <si>
    <t>5.5.4. ФП с.Рудня -Димерська</t>
  </si>
  <si>
    <t>143</t>
  </si>
  <si>
    <t>144</t>
  </si>
  <si>
    <t>145</t>
  </si>
  <si>
    <t>5.6.1. ФП с.Глібівка</t>
  </si>
  <si>
    <t>146</t>
  </si>
  <si>
    <t>147</t>
  </si>
  <si>
    <t>148</t>
  </si>
  <si>
    <t>149</t>
  </si>
  <si>
    <t>5.6.2. ФП с.Сухолуччя</t>
  </si>
  <si>
    <t>150</t>
  </si>
  <si>
    <t>151</t>
  </si>
  <si>
    <t>5.6.3. ФП с.Толокунь</t>
  </si>
  <si>
    <t>152</t>
  </si>
  <si>
    <t>5.6.4. ФП с.Богдани</t>
  </si>
  <si>
    <t>154</t>
  </si>
  <si>
    <t>155</t>
  </si>
  <si>
    <t>Всього по КНП</t>
  </si>
  <si>
    <t xml:space="preserve">лікарі </t>
  </si>
  <si>
    <t>фахівці з базовою та неповною вищою медичною освітою</t>
  </si>
  <si>
    <t>молодший медичний  персонал</t>
  </si>
  <si>
    <t>інший персонал</t>
  </si>
  <si>
    <t>разом</t>
  </si>
  <si>
    <t>Матеріальна допомога на оздоровлення</t>
  </si>
  <si>
    <t>Разом ФОП на 2026 рік:</t>
  </si>
  <si>
    <t>Секретар селищної ради</t>
  </si>
  <si>
    <t>Людмила ІВАНОВА</t>
  </si>
  <si>
    <t>від 23.12.2025 року №2425-77-VІІІ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</si>
</sst>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0" fontId="9" fillId="0" borderId="8" xfId="0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/>
    <xf numFmtId="0" fontId="10" fillId="0" borderId="4" xfId="0" applyFont="1" applyBorder="1" applyAlignment="1">
      <alignment horizontal="center" vertical="center" wrapText="1"/>
    </xf>
    <xf numFmtId="9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" fillId="0" borderId="12" xfId="0" applyNumberFormat="1" applyFont="1" applyBorder="1"/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9" fontId="9" fillId="0" borderId="13" xfId="0" applyNumberFormat="1" applyFont="1" applyBorder="1" applyAlignment="1">
      <alignment horizontal="center" vertical="center" wrapText="1"/>
    </xf>
    <xf numFmtId="2" fontId="9" fillId="0" borderId="14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/>
    <xf numFmtId="0" fontId="13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9" fontId="13" fillId="0" borderId="8" xfId="0" applyNumberFormat="1" applyFont="1" applyBorder="1" applyAlignment="1">
      <alignment horizontal="center" vertical="center" wrapText="1"/>
    </xf>
    <xf numFmtId="0" fontId="12" fillId="0" borderId="0" xfId="0" applyFont="1"/>
    <xf numFmtId="2" fontId="10" fillId="0" borderId="4" xfId="0" applyNumberFormat="1" applyFont="1" applyBorder="1" applyAlignment="1">
      <alignment horizontal="center" vertical="center" wrapText="1"/>
    </xf>
    <xf numFmtId="2" fontId="14" fillId="0" borderId="13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6" fillId="0" borderId="12" xfId="0" applyNumberFormat="1" applyFont="1" applyBorder="1"/>
    <xf numFmtId="49" fontId="12" fillId="0" borderId="15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1" fillId="0" borderId="12" xfId="0" applyNumberFormat="1" applyFont="1" applyBorder="1" applyAlignment="1">
      <alignment horizontal="left"/>
    </xf>
    <xf numFmtId="2" fontId="16" fillId="0" borderId="13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6" fillId="0" borderId="17" xfId="0" applyNumberFormat="1" applyFont="1" applyBorder="1" applyAlignment="1">
      <alignment horizontal="left"/>
    </xf>
    <xf numFmtId="0" fontId="10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2" fontId="10" fillId="0" borderId="18" xfId="0" applyNumberFormat="1" applyFont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15" fillId="0" borderId="11" xfId="0" applyNumberFormat="1" applyFont="1" applyBorder="1" applyAlignment="1">
      <alignment horizontal="left"/>
    </xf>
    <xf numFmtId="2" fontId="14" fillId="0" borderId="4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15" fillId="0" borderId="0" xfId="0" applyNumberFormat="1" applyFont="1"/>
    <xf numFmtId="2" fontId="17" fillId="0" borderId="0" xfId="0" applyNumberFormat="1" applyFont="1"/>
    <xf numFmtId="0" fontId="17" fillId="0" borderId="0" xfId="0" applyFont="1"/>
    <xf numFmtId="2" fontId="10" fillId="0" borderId="6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2" fontId="6" fillId="0" borderId="0" xfId="0" applyNumberFormat="1" applyFont="1"/>
    <xf numFmtId="2" fontId="1" fillId="0" borderId="0" xfId="0" applyNumberFormat="1" applyFont="1"/>
    <xf numFmtId="2" fontId="12" fillId="0" borderId="0" xfId="0" applyNumberFormat="1" applyFont="1"/>
    <xf numFmtId="0" fontId="10" fillId="0" borderId="4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2" fontId="18" fillId="0" borderId="13" xfId="0" applyNumberFormat="1" applyFont="1" applyBorder="1" applyAlignment="1">
      <alignment horizontal="center" vertical="center" wrapText="1"/>
    </xf>
    <xf numFmtId="0" fontId="19" fillId="0" borderId="0" xfId="0" applyFont="1"/>
    <xf numFmtId="49" fontId="12" fillId="0" borderId="17" xfId="0" applyNumberFormat="1" applyFont="1" applyBorder="1"/>
    <xf numFmtId="0" fontId="13" fillId="0" borderId="18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2" fontId="13" fillId="0" borderId="18" xfId="0" applyNumberFormat="1" applyFont="1" applyBorder="1" applyAlignment="1">
      <alignment horizontal="center" vertical="center" wrapText="1"/>
    </xf>
    <xf numFmtId="2" fontId="13" fillId="0" borderId="19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/>
    <xf numFmtId="2" fontId="10" fillId="0" borderId="14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/>
    <xf numFmtId="0" fontId="13" fillId="0" borderId="13" xfId="0" applyFont="1" applyBorder="1" applyAlignment="1">
      <alignment horizontal="center" vertical="center" wrapText="1"/>
    </xf>
    <xf numFmtId="2" fontId="13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/>
    <xf numFmtId="0" fontId="20" fillId="0" borderId="13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/>
    </xf>
    <xf numFmtId="2" fontId="20" fillId="0" borderId="13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49" fontId="6" fillId="0" borderId="13" xfId="0" applyNumberFormat="1" applyFont="1" applyBorder="1"/>
    <xf numFmtId="2" fontId="10" fillId="0" borderId="1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2" fontId="19" fillId="0" borderId="0" xfId="0" applyNumberFormat="1" applyFont="1"/>
    <xf numFmtId="0" fontId="9" fillId="0" borderId="20" xfId="0" applyFont="1" applyBorder="1" applyAlignment="1">
      <alignment horizontal="left" vertical="center" wrapText="1"/>
    </xf>
    <xf numFmtId="49" fontId="1" fillId="0" borderId="21" xfId="0" applyNumberFormat="1" applyFont="1" applyBorder="1"/>
    <xf numFmtId="0" fontId="10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2" fontId="14" fillId="0" borderId="20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0" fontId="10" fillId="0" borderId="13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2" fontId="9" fillId="0" borderId="23" xfId="0" applyNumberFormat="1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49" fontId="17" fillId="0" borderId="15" xfId="0" applyNumberFormat="1" applyFont="1" applyBorder="1"/>
    <xf numFmtId="49" fontId="17" fillId="0" borderId="0" xfId="0" applyNumberFormat="1" applyFont="1"/>
    <xf numFmtId="0" fontId="13" fillId="0" borderId="24" xfId="0" applyFont="1" applyBorder="1" applyAlignment="1">
      <alignment horizontal="left" vertical="center" wrapText="1"/>
    </xf>
    <xf numFmtId="2" fontId="13" fillId="0" borderId="25" xfId="0" applyNumberFormat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4" fontId="1" fillId="0" borderId="0" xfId="0" applyNumberFormat="1" applyFont="1"/>
    <xf numFmtId="0" fontId="1" fillId="0" borderId="11" xfId="0" applyFont="1" applyBorder="1" applyAlignment="1">
      <alignment horizontal="right"/>
    </xf>
    <xf numFmtId="2" fontId="1" fillId="0" borderId="4" xfId="0" applyNumberFormat="1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2" fontId="1" fillId="0" borderId="13" xfId="0" applyNumberFormat="1" applyFont="1" applyBorder="1"/>
    <xf numFmtId="0" fontId="1" fillId="0" borderId="14" xfId="0" applyFont="1" applyBorder="1"/>
    <xf numFmtId="2" fontId="1" fillId="0" borderId="14" xfId="0" applyNumberFormat="1" applyFont="1" applyBorder="1"/>
    <xf numFmtId="0" fontId="1" fillId="0" borderId="15" xfId="0" applyFont="1" applyBorder="1" applyAlignment="1">
      <alignment horizontal="right"/>
    </xf>
    <xf numFmtId="0" fontId="1" fillId="0" borderId="8" xfId="0" applyFont="1" applyBorder="1"/>
    <xf numFmtId="2" fontId="1" fillId="0" borderId="8" xfId="0" applyNumberFormat="1" applyFont="1" applyBorder="1"/>
    <xf numFmtId="2" fontId="1" fillId="0" borderId="10" xfId="0" applyNumberFormat="1" applyFont="1" applyBorder="1"/>
    <xf numFmtId="0" fontId="9" fillId="0" borderId="13" xfId="0" applyFont="1" applyBorder="1" applyAlignment="1">
      <alignment horizontal="right"/>
    </xf>
    <xf numFmtId="0" fontId="0" fillId="0" borderId="13" xfId="0" applyBorder="1" applyAlignment="1">
      <alignment horizontal="right"/>
    </xf>
    <xf numFmtId="2" fontId="6" fillId="0" borderId="13" xfId="0" applyNumberFormat="1" applyFont="1" applyBorder="1"/>
    <xf numFmtId="0" fontId="21" fillId="0" borderId="0" xfId="0" applyFont="1"/>
    <xf numFmtId="2" fontId="21" fillId="0" borderId="0" xfId="0" applyNumberFormat="1" applyFont="1"/>
    <xf numFmtId="2" fontId="22" fillId="0" borderId="0" xfId="0" applyNumberFormat="1" applyFont="1"/>
    <xf numFmtId="0" fontId="2" fillId="0" borderId="0" xfId="0" applyFont="1"/>
    <xf numFmtId="0" fontId="3" fillId="0" borderId="0" xfId="0" applyFont="1"/>
    <xf numFmtId="0" fontId="9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9" fontId="1" fillId="0" borderId="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0" xfId="0" applyFont="1"/>
    <xf numFmtId="2" fontId="10" fillId="0" borderId="1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0DCE7-106C-415E-AC9F-FF4CCB2D7373}">
  <sheetPr>
    <pageSetUpPr fitToPage="1"/>
  </sheetPr>
  <dimension ref="A1:AI257"/>
  <sheetViews>
    <sheetView tabSelected="1" topLeftCell="B226" zoomScale="55" zoomScaleNormal="55" workbookViewId="0">
      <selection activeCell="M5" sqref="M5:P5"/>
    </sheetView>
  </sheetViews>
  <sheetFormatPr defaultColWidth="8.88671875" defaultRowHeight="12" x14ac:dyDescent="0.25"/>
  <cols>
    <col min="1" max="1" width="5.109375" style="1" customWidth="1"/>
    <col min="2" max="2" width="52" style="2" customWidth="1"/>
    <col min="3" max="3" width="12.33203125" style="2" customWidth="1"/>
    <col min="4" max="4" width="6" style="2" customWidth="1"/>
    <col min="5" max="5" width="12.88671875" style="2" customWidth="1"/>
    <col min="6" max="6" width="11.44140625" style="2" customWidth="1"/>
    <col min="7" max="7" width="13.33203125" style="2" customWidth="1"/>
    <col min="8" max="8" width="12.109375" style="2" customWidth="1"/>
    <col min="9" max="9" width="10.88671875" style="2" customWidth="1"/>
    <col min="10" max="10" width="10.33203125" style="2" customWidth="1"/>
    <col min="11" max="11" width="12.6640625" style="2" customWidth="1"/>
    <col min="12" max="12" width="11.33203125" style="2" customWidth="1"/>
    <col min="13" max="13" width="10.21875" style="2" customWidth="1"/>
    <col min="14" max="14" width="9.88671875" style="2" customWidth="1"/>
    <col min="15" max="15" width="12.5546875" style="2" customWidth="1"/>
    <col min="16" max="16" width="10.88671875" style="2" customWidth="1"/>
    <col min="17" max="17" width="0.21875" style="2" customWidth="1"/>
    <col min="18" max="18" width="11.5546875" style="2" customWidth="1"/>
    <col min="19" max="19" width="11.88671875" style="2" customWidth="1"/>
    <col min="20" max="20" width="9.5546875" style="2" bestFit="1" customWidth="1"/>
    <col min="21" max="16384" width="8.88671875" style="2"/>
  </cols>
  <sheetData>
    <row r="1" spans="1:35" ht="19.95" customHeight="1" x14ac:dyDescent="0.3"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6"/>
      <c r="S1" s="136"/>
    </row>
    <row r="2" spans="1:35" ht="19.2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5"/>
      <c r="N2" s="136"/>
      <c r="O2" s="136"/>
      <c r="P2" s="136"/>
      <c r="Q2" s="136"/>
      <c r="R2" s="136"/>
      <c r="S2" s="136"/>
    </row>
    <row r="3" spans="1:35" ht="40.799999999999997" customHeight="1" x14ac:dyDescent="0.35">
      <c r="B3" s="137" t="s">
        <v>0</v>
      </c>
      <c r="C3" s="138"/>
      <c r="D3" s="138"/>
      <c r="E3" s="4"/>
      <c r="F3" s="4"/>
      <c r="G3" s="4"/>
      <c r="H3" s="4"/>
      <c r="I3" s="4"/>
      <c r="J3" s="4"/>
      <c r="K3" s="4"/>
      <c r="L3" s="4"/>
      <c r="M3" s="139" t="s">
        <v>1</v>
      </c>
      <c r="N3" s="140"/>
      <c r="O3" s="140"/>
      <c r="P3" s="140"/>
      <c r="Q3" s="140"/>
      <c r="R3" s="140"/>
      <c r="S3" s="140"/>
    </row>
    <row r="4" spans="1:35" ht="17.399999999999999" customHeight="1" x14ac:dyDescent="0.35">
      <c r="B4" s="5"/>
      <c r="C4" s="6"/>
      <c r="D4" s="6"/>
      <c r="E4" s="4"/>
      <c r="F4" s="4"/>
      <c r="G4" s="4"/>
      <c r="H4" s="4"/>
      <c r="I4" s="4"/>
      <c r="J4" s="4"/>
      <c r="K4" s="4"/>
      <c r="L4" s="4"/>
      <c r="M4" s="7" t="s">
        <v>317</v>
      </c>
      <c r="N4"/>
      <c r="O4"/>
      <c r="P4"/>
      <c r="Q4"/>
      <c r="R4"/>
      <c r="S4"/>
    </row>
    <row r="5" spans="1:35" ht="17.399999999999999" x14ac:dyDescent="0.3">
      <c r="B5" s="141" t="s">
        <v>2</v>
      </c>
      <c r="C5" s="141"/>
      <c r="D5" s="141"/>
      <c r="G5" s="8"/>
      <c r="H5" s="8"/>
      <c r="I5" s="8"/>
      <c r="J5" s="8"/>
      <c r="K5" s="8"/>
      <c r="L5" s="8"/>
      <c r="M5" s="142"/>
      <c r="N5" s="143"/>
      <c r="O5" s="143"/>
      <c r="P5" s="143"/>
      <c r="Q5" s="9"/>
      <c r="R5" s="9"/>
      <c r="S5" s="3"/>
    </row>
    <row r="6" spans="1:35" ht="29.4" customHeight="1" x14ac:dyDescent="0.3">
      <c r="B6" s="10"/>
      <c r="G6" s="11"/>
      <c r="H6" s="12"/>
      <c r="M6" s="150"/>
      <c r="N6" s="143"/>
      <c r="O6" s="143"/>
      <c r="P6" s="143"/>
      <c r="Q6" s="143"/>
      <c r="R6" s="143"/>
      <c r="S6" s="143"/>
    </row>
    <row r="7" spans="1:35" ht="12.6" thickBot="1" x14ac:dyDescent="0.3">
      <c r="G7" s="11"/>
      <c r="H7" s="12"/>
      <c r="I7" s="12"/>
      <c r="R7" s="8"/>
      <c r="S7" s="12"/>
    </row>
    <row r="8" spans="1:35" ht="23.4" customHeight="1" thickBot="1" x14ac:dyDescent="0.3">
      <c r="M8" s="13" t="s">
        <v>3</v>
      </c>
      <c r="N8" s="13"/>
      <c r="O8" s="151" t="s">
        <v>4</v>
      </c>
      <c r="P8" s="152"/>
      <c r="Q8" s="13"/>
      <c r="R8" s="13"/>
      <c r="S8" s="134" t="s">
        <v>5</v>
      </c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4"/>
    </row>
    <row r="9" spans="1:35" ht="23.4" customHeight="1" x14ac:dyDescent="0.3">
      <c r="B9" s="153" t="s">
        <v>6</v>
      </c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4" t="s">
        <v>7</v>
      </c>
    </row>
    <row r="10" spans="1:35" ht="27.6" customHeight="1" thickBot="1" x14ac:dyDescent="0.35">
      <c r="B10" s="154" t="s">
        <v>8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</row>
    <row r="11" spans="1:35" ht="37.950000000000003" customHeight="1" x14ac:dyDescent="0.25">
      <c r="A11" s="144"/>
      <c r="B11" s="146" t="s">
        <v>9</v>
      </c>
      <c r="C11" s="148" t="s">
        <v>10</v>
      </c>
      <c r="D11" s="148" t="s">
        <v>11</v>
      </c>
      <c r="E11" s="148" t="s">
        <v>12</v>
      </c>
      <c r="F11" s="148" t="s">
        <v>13</v>
      </c>
      <c r="G11" s="148" t="s">
        <v>14</v>
      </c>
      <c r="H11" s="148" t="s">
        <v>15</v>
      </c>
      <c r="I11" s="148"/>
      <c r="J11" s="148"/>
      <c r="K11" s="148"/>
      <c r="L11" s="157" t="s">
        <v>16</v>
      </c>
      <c r="M11" s="157" t="s">
        <v>17</v>
      </c>
      <c r="N11" s="157" t="s">
        <v>18</v>
      </c>
      <c r="O11" s="159" t="s">
        <v>19</v>
      </c>
      <c r="P11" s="157" t="s">
        <v>20</v>
      </c>
      <c r="Q11" s="146"/>
      <c r="R11" s="148" t="s">
        <v>21</v>
      </c>
      <c r="S11" s="155" t="s">
        <v>22</v>
      </c>
    </row>
    <row r="12" spans="1:35" ht="64.95" customHeight="1" thickBot="1" x14ac:dyDescent="0.3">
      <c r="A12" s="145"/>
      <c r="B12" s="147"/>
      <c r="C12" s="149"/>
      <c r="D12" s="149"/>
      <c r="E12" s="149"/>
      <c r="F12" s="149"/>
      <c r="G12" s="149"/>
      <c r="H12" s="15" t="s">
        <v>23</v>
      </c>
      <c r="I12" s="16" t="s">
        <v>24</v>
      </c>
      <c r="J12" s="16" t="s">
        <v>25</v>
      </c>
      <c r="K12" s="15" t="s">
        <v>26</v>
      </c>
      <c r="L12" s="158"/>
      <c r="M12" s="158"/>
      <c r="N12" s="158"/>
      <c r="O12" s="160"/>
      <c r="P12" s="158"/>
      <c r="Q12" s="147"/>
      <c r="R12" s="149"/>
      <c r="S12" s="156"/>
    </row>
    <row r="13" spans="1:35" s="13" customFormat="1" ht="20.399999999999999" customHeight="1" x14ac:dyDescent="0.2">
      <c r="A13" s="17"/>
      <c r="B13" s="18" t="s">
        <v>27</v>
      </c>
      <c r="C13" s="18"/>
      <c r="D13" s="18"/>
      <c r="E13" s="18"/>
      <c r="F13" s="18"/>
      <c r="G13" s="18"/>
      <c r="H13" s="18"/>
      <c r="I13" s="19"/>
      <c r="J13" s="19"/>
      <c r="K13" s="18"/>
      <c r="L13" s="19"/>
      <c r="M13" s="19"/>
      <c r="N13" s="19"/>
      <c r="O13" s="19"/>
      <c r="P13" s="19"/>
      <c r="Q13" s="18"/>
      <c r="R13" s="18"/>
      <c r="S13" s="20"/>
    </row>
    <row r="14" spans="1:35" x14ac:dyDescent="0.25">
      <c r="A14" s="21" t="s">
        <v>28</v>
      </c>
      <c r="B14" s="22" t="s">
        <v>29</v>
      </c>
      <c r="C14" s="23">
        <v>1</v>
      </c>
      <c r="D14" s="23"/>
      <c r="E14" s="24">
        <v>25000</v>
      </c>
      <c r="F14" s="24"/>
      <c r="G14" s="24">
        <v>25000</v>
      </c>
      <c r="H14" s="23"/>
      <c r="I14" s="25"/>
      <c r="J14" s="25"/>
      <c r="K14" s="23"/>
      <c r="L14" s="25"/>
      <c r="M14" s="23">
        <f>G14*15%</f>
        <v>3750</v>
      </c>
      <c r="N14" s="24"/>
      <c r="O14" s="23">
        <f>G14</f>
        <v>25000</v>
      </c>
      <c r="P14" s="25"/>
      <c r="Q14" s="23"/>
      <c r="R14" s="24">
        <f>G14+M14+O14</f>
        <v>53750</v>
      </c>
      <c r="S14" s="26">
        <f>R14*12</f>
        <v>645000</v>
      </c>
    </row>
    <row r="15" spans="1:35" x14ac:dyDescent="0.25">
      <c r="A15" s="21" t="s">
        <v>30</v>
      </c>
      <c r="B15" s="22" t="s">
        <v>31</v>
      </c>
      <c r="C15" s="23">
        <v>1</v>
      </c>
      <c r="D15" s="23"/>
      <c r="E15" s="24">
        <f>E14-2500</f>
        <v>22500</v>
      </c>
      <c r="F15" s="24"/>
      <c r="G15" s="24">
        <f>E15</f>
        <v>22500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>
        <f>E15+N15</f>
        <v>22500</v>
      </c>
      <c r="S15" s="26">
        <f t="shared" ref="S15:S37" si="0">R15*12</f>
        <v>270000</v>
      </c>
    </row>
    <row r="16" spans="1:35" x14ac:dyDescent="0.25">
      <c r="A16" s="21" t="s">
        <v>32</v>
      </c>
      <c r="B16" s="22" t="s">
        <v>33</v>
      </c>
      <c r="C16" s="23">
        <v>1</v>
      </c>
      <c r="D16" s="23"/>
      <c r="E16" s="24">
        <f>E14-2500</f>
        <v>22500</v>
      </c>
      <c r="F16" s="24"/>
      <c r="G16" s="24">
        <f>E16</f>
        <v>22500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>
        <f>E16+N16</f>
        <v>22500</v>
      </c>
      <c r="S16" s="26">
        <f t="shared" si="0"/>
        <v>270000</v>
      </c>
    </row>
    <row r="17" spans="1:19" x14ac:dyDescent="0.25">
      <c r="A17" s="21" t="s">
        <v>34</v>
      </c>
      <c r="B17" s="22" t="s">
        <v>35</v>
      </c>
      <c r="C17" s="23">
        <v>1</v>
      </c>
      <c r="D17" s="23">
        <v>10</v>
      </c>
      <c r="E17" s="24">
        <v>5815</v>
      </c>
      <c r="F17" s="24"/>
      <c r="G17" s="24">
        <f>E17</f>
        <v>5815</v>
      </c>
      <c r="H17" s="24">
        <f>G17*0.5</f>
        <v>2907.5</v>
      </c>
      <c r="I17" s="24" t="s">
        <v>36</v>
      </c>
      <c r="J17" s="25"/>
      <c r="K17" s="23">
        <f>G17*0.3</f>
        <v>1744.5</v>
      </c>
      <c r="L17" s="24"/>
      <c r="M17" s="25"/>
      <c r="N17" s="24"/>
      <c r="O17" s="27">
        <f>G17*200%</f>
        <v>11630</v>
      </c>
      <c r="P17" s="25"/>
      <c r="Q17" s="23"/>
      <c r="R17" s="24">
        <f>N17+K17+H17+E17+L17+O17</f>
        <v>22097</v>
      </c>
      <c r="S17" s="26">
        <f t="shared" si="0"/>
        <v>265164</v>
      </c>
    </row>
    <row r="18" spans="1:19" x14ac:dyDescent="0.25">
      <c r="A18" s="21" t="s">
        <v>37</v>
      </c>
      <c r="B18" s="22" t="s">
        <v>38</v>
      </c>
      <c r="C18" s="23">
        <v>1</v>
      </c>
      <c r="D18" s="23"/>
      <c r="E18" s="24">
        <f>E14-5000</f>
        <v>20000</v>
      </c>
      <c r="F18" s="24"/>
      <c r="G18" s="24">
        <f t="shared" ref="G18:G36" si="1">E18+F18</f>
        <v>20000</v>
      </c>
      <c r="H18" s="24"/>
      <c r="I18" s="24"/>
      <c r="J18" s="24"/>
      <c r="K18" s="24"/>
      <c r="L18" s="24" t="s">
        <v>39</v>
      </c>
      <c r="M18" s="24"/>
      <c r="N18" s="24"/>
      <c r="O18" s="24">
        <f>G18</f>
        <v>20000</v>
      </c>
      <c r="P18" s="24" t="s">
        <v>40</v>
      </c>
      <c r="Q18" s="24"/>
      <c r="R18" s="24">
        <f>G18+N18+O18</f>
        <v>40000</v>
      </c>
      <c r="S18" s="26">
        <f t="shared" si="0"/>
        <v>480000</v>
      </c>
    </row>
    <row r="19" spans="1:19" x14ac:dyDescent="0.25">
      <c r="A19" s="21" t="s">
        <v>41</v>
      </c>
      <c r="B19" s="22" t="s">
        <v>42</v>
      </c>
      <c r="C19" s="23">
        <v>2</v>
      </c>
      <c r="D19" s="23">
        <v>8</v>
      </c>
      <c r="E19" s="24">
        <f>5240*C19</f>
        <v>10480</v>
      </c>
      <c r="F19" s="24"/>
      <c r="G19" s="24">
        <f t="shared" si="1"/>
        <v>10480</v>
      </c>
      <c r="H19" s="24">
        <f t="shared" ref="H19:H26" si="2">G19*0.5</f>
        <v>5240</v>
      </c>
      <c r="I19" s="24"/>
      <c r="J19" s="24"/>
      <c r="K19" s="24"/>
      <c r="L19" s="24" t="s">
        <v>43</v>
      </c>
      <c r="M19" s="24"/>
      <c r="N19" s="24"/>
      <c r="O19" s="24">
        <f>10480*C19</f>
        <v>20960</v>
      </c>
      <c r="P19" s="24" t="s">
        <v>7</v>
      </c>
      <c r="Q19" s="24"/>
      <c r="R19" s="24">
        <f>G19+H19+O19</f>
        <v>36680</v>
      </c>
      <c r="S19" s="26">
        <f t="shared" si="0"/>
        <v>440160</v>
      </c>
    </row>
    <row r="20" spans="1:19" x14ac:dyDescent="0.25">
      <c r="A20" s="21" t="s">
        <v>44</v>
      </c>
      <c r="B20" s="22" t="s">
        <v>45</v>
      </c>
      <c r="C20" s="23">
        <v>1</v>
      </c>
      <c r="D20" s="23">
        <v>9</v>
      </c>
      <c r="E20" s="24">
        <v>5527</v>
      </c>
      <c r="F20" s="24"/>
      <c r="G20" s="24">
        <f t="shared" si="1"/>
        <v>5527</v>
      </c>
      <c r="H20" s="24">
        <f t="shared" si="2"/>
        <v>2763.5</v>
      </c>
      <c r="I20" s="24"/>
      <c r="J20" s="24"/>
      <c r="K20" s="24"/>
      <c r="L20" s="24" t="s">
        <v>43</v>
      </c>
      <c r="M20" s="24"/>
      <c r="N20" s="24"/>
      <c r="O20" s="24">
        <v>11054</v>
      </c>
      <c r="P20" s="24" t="s">
        <v>7</v>
      </c>
      <c r="Q20" s="24"/>
      <c r="R20" s="24">
        <f>G20+H20+O20</f>
        <v>19344.5</v>
      </c>
      <c r="S20" s="26">
        <f t="shared" si="0"/>
        <v>232134</v>
      </c>
    </row>
    <row r="21" spans="1:19" x14ac:dyDescent="0.25">
      <c r="A21" s="21" t="s">
        <v>46</v>
      </c>
      <c r="B21" s="22" t="s">
        <v>47</v>
      </c>
      <c r="C21" s="23">
        <v>1</v>
      </c>
      <c r="D21" s="23">
        <v>8</v>
      </c>
      <c r="E21" s="24">
        <v>5240</v>
      </c>
      <c r="F21" s="23"/>
      <c r="G21" s="24">
        <f t="shared" si="1"/>
        <v>5240</v>
      </c>
      <c r="H21" s="24">
        <f t="shared" si="2"/>
        <v>2620</v>
      </c>
      <c r="I21" s="25"/>
      <c r="J21" s="25"/>
      <c r="K21" s="23"/>
      <c r="L21" s="25"/>
      <c r="M21" s="25"/>
      <c r="N21" s="24"/>
      <c r="O21" s="24">
        <f>G21*200%</f>
        <v>10480</v>
      </c>
      <c r="P21" s="25"/>
      <c r="Q21" s="23"/>
      <c r="R21" s="24">
        <f t="shared" ref="R21:R25" si="3">G21+H21+O21</f>
        <v>18340</v>
      </c>
      <c r="S21" s="26">
        <f t="shared" si="0"/>
        <v>220080</v>
      </c>
    </row>
    <row r="22" spans="1:19" x14ac:dyDescent="0.25">
      <c r="A22" s="21" t="s">
        <v>48</v>
      </c>
      <c r="B22" s="22" t="s">
        <v>49</v>
      </c>
      <c r="C22" s="23">
        <v>1</v>
      </c>
      <c r="D22" s="23">
        <v>6</v>
      </c>
      <c r="E22" s="24">
        <v>4633</v>
      </c>
      <c r="F22" s="23"/>
      <c r="G22" s="24">
        <f t="shared" si="1"/>
        <v>4633</v>
      </c>
      <c r="H22" s="23">
        <f t="shared" si="2"/>
        <v>2316.5</v>
      </c>
      <c r="I22" s="25"/>
      <c r="J22" s="25"/>
      <c r="K22" s="23"/>
      <c r="L22" s="25"/>
      <c r="M22" s="25"/>
      <c r="N22" s="24"/>
      <c r="O22" s="24">
        <f>G22*200%</f>
        <v>9266</v>
      </c>
      <c r="P22" s="25"/>
      <c r="Q22" s="23"/>
      <c r="R22" s="24">
        <f t="shared" si="3"/>
        <v>16215.5</v>
      </c>
      <c r="S22" s="26">
        <f t="shared" si="0"/>
        <v>194586</v>
      </c>
    </row>
    <row r="23" spans="1:19" x14ac:dyDescent="0.25">
      <c r="A23" s="21" t="s">
        <v>50</v>
      </c>
      <c r="B23" s="22" t="s">
        <v>51</v>
      </c>
      <c r="C23" s="23">
        <v>0.5</v>
      </c>
      <c r="D23" s="23">
        <v>6</v>
      </c>
      <c r="E23" s="24">
        <f>E22/2</f>
        <v>2316.5</v>
      </c>
      <c r="F23" s="23"/>
      <c r="G23" s="24">
        <f t="shared" si="1"/>
        <v>2316.5</v>
      </c>
      <c r="H23" s="23">
        <f t="shared" si="2"/>
        <v>1158.25</v>
      </c>
      <c r="I23" s="25"/>
      <c r="J23" s="25"/>
      <c r="K23" s="23"/>
      <c r="L23" s="25"/>
      <c r="M23" s="25"/>
      <c r="N23" s="24"/>
      <c r="O23" s="24">
        <f>G23*150%</f>
        <v>3474.75</v>
      </c>
      <c r="P23" s="25"/>
      <c r="Q23" s="23"/>
      <c r="R23" s="24">
        <f t="shared" si="3"/>
        <v>6949.5</v>
      </c>
      <c r="S23" s="26">
        <f t="shared" si="0"/>
        <v>83394</v>
      </c>
    </row>
    <row r="24" spans="1:19" x14ac:dyDescent="0.25">
      <c r="A24" s="21" t="s">
        <v>52</v>
      </c>
      <c r="B24" s="22" t="s">
        <v>53</v>
      </c>
      <c r="C24" s="23">
        <v>1</v>
      </c>
      <c r="D24" s="23">
        <v>4</v>
      </c>
      <c r="E24" s="24">
        <v>4058</v>
      </c>
      <c r="F24" s="23"/>
      <c r="G24" s="24">
        <f t="shared" si="1"/>
        <v>4058</v>
      </c>
      <c r="H24" s="23">
        <f t="shared" si="2"/>
        <v>2029</v>
      </c>
      <c r="I24" s="25"/>
      <c r="J24" s="25"/>
      <c r="K24" s="23"/>
      <c r="L24" s="25"/>
      <c r="M24" s="25"/>
      <c r="N24" s="24"/>
      <c r="O24" s="24">
        <f>G24*200%</f>
        <v>8116</v>
      </c>
      <c r="P24" s="25"/>
      <c r="Q24" s="23"/>
      <c r="R24" s="24">
        <f t="shared" si="3"/>
        <v>14203</v>
      </c>
      <c r="S24" s="26">
        <f t="shared" si="0"/>
        <v>170436</v>
      </c>
    </row>
    <row r="25" spans="1:19" x14ac:dyDescent="0.25">
      <c r="A25" s="21" t="s">
        <v>54</v>
      </c>
      <c r="B25" s="22" t="s">
        <v>55</v>
      </c>
      <c r="C25" s="23">
        <v>1</v>
      </c>
      <c r="D25" s="23">
        <v>9</v>
      </c>
      <c r="E25" s="24">
        <v>5527</v>
      </c>
      <c r="F25" s="24"/>
      <c r="G25" s="24">
        <f t="shared" si="1"/>
        <v>5527</v>
      </c>
      <c r="H25" s="24">
        <f t="shared" si="2"/>
        <v>2763.5</v>
      </c>
      <c r="I25" s="24"/>
      <c r="J25" s="24"/>
      <c r="K25" s="24"/>
      <c r="L25" s="24"/>
      <c r="M25" s="24"/>
      <c r="N25" s="24"/>
      <c r="O25" s="24">
        <f>G25*150%</f>
        <v>8290.5</v>
      </c>
      <c r="P25" s="24"/>
      <c r="Q25" s="24"/>
      <c r="R25" s="24">
        <f t="shared" si="3"/>
        <v>16581</v>
      </c>
      <c r="S25" s="26">
        <f t="shared" si="0"/>
        <v>198972</v>
      </c>
    </row>
    <row r="26" spans="1:19" ht="18" customHeight="1" x14ac:dyDescent="0.25">
      <c r="A26" s="21" t="s">
        <v>56</v>
      </c>
      <c r="B26" s="22" t="s">
        <v>57</v>
      </c>
      <c r="C26" s="23">
        <v>1</v>
      </c>
      <c r="D26" s="23">
        <v>4</v>
      </c>
      <c r="E26" s="24">
        <f>4058*C26</f>
        <v>4058</v>
      </c>
      <c r="F26" s="23"/>
      <c r="G26" s="24">
        <f t="shared" si="1"/>
        <v>4058</v>
      </c>
      <c r="H26" s="23">
        <f t="shared" si="2"/>
        <v>2029</v>
      </c>
      <c r="I26" s="25"/>
      <c r="J26" s="25"/>
      <c r="K26" s="23"/>
      <c r="L26" s="25"/>
      <c r="M26" s="25"/>
      <c r="N26" s="24"/>
      <c r="O26" s="24">
        <f>G26*150%</f>
        <v>6087</v>
      </c>
      <c r="P26" s="25"/>
      <c r="Q26" s="23"/>
      <c r="R26" s="24">
        <f>G26+H26+O26</f>
        <v>12174</v>
      </c>
      <c r="S26" s="26">
        <f t="shared" si="0"/>
        <v>146088</v>
      </c>
    </row>
    <row r="27" spans="1:19" s="33" customFormat="1" ht="25.8" customHeight="1" thickBot="1" x14ac:dyDescent="0.3">
      <c r="A27" s="28"/>
      <c r="B27" s="29" t="s">
        <v>58</v>
      </c>
      <c r="C27" s="30">
        <f>SUM(C14:C26)</f>
        <v>13.5</v>
      </c>
      <c r="D27" s="30"/>
      <c r="E27" s="31">
        <f>SUM(E14:E26)</f>
        <v>137654.5</v>
      </c>
      <c r="F27" s="30"/>
      <c r="G27" s="31">
        <f>SUM(G14:G26)</f>
        <v>137654.5</v>
      </c>
      <c r="H27" s="30">
        <f>SUM(H14:H26)</f>
        <v>23827.25</v>
      </c>
      <c r="I27" s="32"/>
      <c r="J27" s="32"/>
      <c r="K27" s="30">
        <f>SUM(K14:K26)</f>
        <v>1744.5</v>
      </c>
      <c r="L27" s="32"/>
      <c r="M27" s="30">
        <f>SUM(M14:M26)</f>
        <v>3750</v>
      </c>
      <c r="N27" s="31"/>
      <c r="O27" s="31">
        <f>SUM(O14:O26)</f>
        <v>134358.25</v>
      </c>
      <c r="P27" s="32"/>
      <c r="Q27" s="30"/>
      <c r="R27" s="31">
        <f>SUM(R14:R26)</f>
        <v>301334.5</v>
      </c>
      <c r="S27" s="26">
        <f t="shared" si="0"/>
        <v>3616014</v>
      </c>
    </row>
    <row r="28" spans="1:19" s="13" customFormat="1" ht="25.2" customHeight="1" x14ac:dyDescent="0.2">
      <c r="A28" s="17"/>
      <c r="B28" s="18" t="s">
        <v>59</v>
      </c>
      <c r="C28" s="18"/>
      <c r="D28" s="18"/>
      <c r="E28" s="34"/>
      <c r="F28" s="18"/>
      <c r="G28" s="34"/>
      <c r="H28" s="18"/>
      <c r="I28" s="19"/>
      <c r="J28" s="19"/>
      <c r="K28" s="18"/>
      <c r="L28" s="19"/>
      <c r="M28" s="19"/>
      <c r="N28" s="34"/>
      <c r="O28" s="34"/>
      <c r="P28" s="19"/>
      <c r="Q28" s="18"/>
      <c r="R28" s="34"/>
      <c r="S28" s="26"/>
    </row>
    <row r="29" spans="1:19" x14ac:dyDescent="0.25">
      <c r="A29" s="21" t="s">
        <v>60</v>
      </c>
      <c r="B29" s="22" t="s">
        <v>61</v>
      </c>
      <c r="C29" s="23">
        <v>0.5</v>
      </c>
      <c r="D29" s="23">
        <v>7</v>
      </c>
      <c r="E29" s="24">
        <f>4920*C29</f>
        <v>2460</v>
      </c>
      <c r="F29" s="23"/>
      <c r="G29" s="24">
        <f t="shared" ref="G29:G32" si="4">E29+F29</f>
        <v>2460</v>
      </c>
      <c r="H29" s="24"/>
      <c r="I29" s="24"/>
      <c r="J29" s="24"/>
      <c r="K29" s="24"/>
      <c r="L29" s="24"/>
      <c r="M29" s="24"/>
      <c r="N29" s="24"/>
      <c r="O29" s="24"/>
      <c r="P29" s="24">
        <f>8647*C29-G29</f>
        <v>1863.5</v>
      </c>
      <c r="Q29" s="24"/>
      <c r="R29" s="24">
        <f>G29+H29+I29+ J29+K29+L29+N29+O29+P29</f>
        <v>4323.5</v>
      </c>
      <c r="S29" s="26">
        <f t="shared" si="0"/>
        <v>51882</v>
      </c>
    </row>
    <row r="30" spans="1:19" x14ac:dyDescent="0.25">
      <c r="A30" s="21" t="s">
        <v>60</v>
      </c>
      <c r="B30" s="22" t="s">
        <v>62</v>
      </c>
      <c r="C30" s="23">
        <v>0.5</v>
      </c>
      <c r="D30" s="23">
        <v>6</v>
      </c>
      <c r="E30" s="24">
        <f>4633*C30</f>
        <v>2316.5</v>
      </c>
      <c r="F30" s="23"/>
      <c r="G30" s="24">
        <f t="shared" si="4"/>
        <v>2316.5</v>
      </c>
      <c r="H30" s="24"/>
      <c r="I30" s="24"/>
      <c r="J30" s="24"/>
      <c r="K30" s="24"/>
      <c r="L30" s="24"/>
      <c r="M30" s="24"/>
      <c r="N30" s="24"/>
      <c r="O30" s="24"/>
      <c r="P30" s="24">
        <f>8647*C30-G30</f>
        <v>2007</v>
      </c>
      <c r="Q30" s="24"/>
      <c r="R30" s="24">
        <f>G30+H30+I30+ J30+K30+L30+N30+O30+P30</f>
        <v>4323.5</v>
      </c>
      <c r="S30" s="26">
        <f t="shared" si="0"/>
        <v>51882</v>
      </c>
    </row>
    <row r="31" spans="1:19" x14ac:dyDescent="0.25">
      <c r="A31" s="21" t="s">
        <v>63</v>
      </c>
      <c r="B31" s="22" t="s">
        <v>64</v>
      </c>
      <c r="C31" s="23">
        <v>0.5</v>
      </c>
      <c r="D31" s="23">
        <v>1</v>
      </c>
      <c r="E31" s="24">
        <f>3195*C31</f>
        <v>1597.5</v>
      </c>
      <c r="F31" s="23"/>
      <c r="G31" s="24">
        <f t="shared" si="4"/>
        <v>1597.5</v>
      </c>
      <c r="H31" s="24"/>
      <c r="I31" s="24"/>
      <c r="J31" s="24"/>
      <c r="K31" s="24"/>
      <c r="L31" s="24"/>
      <c r="M31" s="24"/>
      <c r="N31" s="24"/>
      <c r="O31" s="24"/>
      <c r="P31" s="24">
        <f>8647-G31</f>
        <v>7049.5</v>
      </c>
      <c r="Q31" s="24"/>
      <c r="R31" s="24">
        <f t="shared" ref="R31:R32" si="5">G31+H31+I31+ J31+K31+L31+N31+O31+P31</f>
        <v>8647</v>
      </c>
      <c r="S31" s="26">
        <f t="shared" si="0"/>
        <v>103764</v>
      </c>
    </row>
    <row r="32" spans="1:19" x14ac:dyDescent="0.25">
      <c r="A32" s="21" t="s">
        <v>65</v>
      </c>
      <c r="B32" s="22" t="s">
        <v>66</v>
      </c>
      <c r="C32" s="23">
        <v>1.5</v>
      </c>
      <c r="D32" s="23">
        <v>1</v>
      </c>
      <c r="E32" s="24">
        <f>3195*C32</f>
        <v>4792.5</v>
      </c>
      <c r="F32" s="23"/>
      <c r="G32" s="24">
        <f t="shared" si="4"/>
        <v>4792.5</v>
      </c>
      <c r="H32" s="24"/>
      <c r="I32" s="24"/>
      <c r="J32" s="24"/>
      <c r="K32" s="24"/>
      <c r="L32" s="24"/>
      <c r="M32" s="24"/>
      <c r="N32" s="24"/>
      <c r="O32" s="24"/>
      <c r="P32" s="24">
        <f>8647*C32-G32</f>
        <v>8178</v>
      </c>
      <c r="Q32" s="24"/>
      <c r="R32" s="24">
        <f t="shared" si="5"/>
        <v>12970.5</v>
      </c>
      <c r="S32" s="26">
        <f t="shared" si="0"/>
        <v>155646</v>
      </c>
    </row>
    <row r="33" spans="1:19" x14ac:dyDescent="0.25">
      <c r="A33" s="21" t="s">
        <v>67</v>
      </c>
      <c r="B33" s="22" t="s">
        <v>68</v>
      </c>
      <c r="C33" s="23">
        <v>1.5</v>
      </c>
      <c r="D33" s="23">
        <v>3</v>
      </c>
      <c r="E33" s="24">
        <f>3770*C33</f>
        <v>5655</v>
      </c>
      <c r="F33" s="23"/>
      <c r="G33" s="24">
        <f t="shared" si="1"/>
        <v>5655</v>
      </c>
      <c r="H33" s="24"/>
      <c r="I33" s="24"/>
      <c r="J33" s="24"/>
      <c r="K33" s="24"/>
      <c r="L33" s="24"/>
      <c r="M33" s="24"/>
      <c r="N33" s="24"/>
      <c r="O33" s="24"/>
      <c r="P33" s="24">
        <f>8647*C33-G33</f>
        <v>7315.5</v>
      </c>
      <c r="Q33" s="24"/>
      <c r="R33" s="24">
        <f>G33+H33+I33+ J33+K33+L33+N33+O33+P33</f>
        <v>12970.5</v>
      </c>
      <c r="S33" s="26">
        <f t="shared" si="0"/>
        <v>155646</v>
      </c>
    </row>
    <row r="34" spans="1:19" ht="24" x14ac:dyDescent="0.25">
      <c r="A34" s="21" t="s">
        <v>67</v>
      </c>
      <c r="B34" s="22" t="s">
        <v>69</v>
      </c>
      <c r="C34" s="23">
        <v>0.5</v>
      </c>
      <c r="D34" s="23">
        <v>3</v>
      </c>
      <c r="E34" s="24">
        <f>3770*C34</f>
        <v>1885</v>
      </c>
      <c r="F34" s="23"/>
      <c r="G34" s="24">
        <f t="shared" si="1"/>
        <v>1885</v>
      </c>
      <c r="H34" s="24"/>
      <c r="I34" s="24"/>
      <c r="J34" s="24"/>
      <c r="K34" s="24"/>
      <c r="L34" s="24"/>
      <c r="M34" s="24"/>
      <c r="N34" s="24"/>
      <c r="O34" s="24"/>
      <c r="P34" s="24">
        <f>8647*C34-G34</f>
        <v>2438.5</v>
      </c>
      <c r="Q34" s="24"/>
      <c r="R34" s="24">
        <f>G34+H34+I34+ J34+K34+L34+N34+O34+P34</f>
        <v>4323.5</v>
      </c>
      <c r="S34" s="26">
        <f t="shared" si="0"/>
        <v>51882</v>
      </c>
    </row>
    <row r="35" spans="1:19" ht="12.6" customHeight="1" x14ac:dyDescent="0.25">
      <c r="A35" s="21" t="s">
        <v>70</v>
      </c>
      <c r="B35" s="22" t="s">
        <v>71</v>
      </c>
      <c r="C35" s="23">
        <v>1</v>
      </c>
      <c r="D35" s="23">
        <v>2</v>
      </c>
      <c r="E35" s="24">
        <v>3483</v>
      </c>
      <c r="F35" s="23">
        <f>E35*0.2</f>
        <v>696.6</v>
      </c>
      <c r="G35" s="24">
        <f t="shared" si="1"/>
        <v>4179.6000000000004</v>
      </c>
      <c r="H35" s="24"/>
      <c r="I35" s="24"/>
      <c r="J35" s="24">
        <f>G35*4%</f>
        <v>167.18400000000003</v>
      </c>
      <c r="K35" s="24"/>
      <c r="L35" s="24"/>
      <c r="M35" s="24"/>
      <c r="N35" s="24"/>
      <c r="O35" s="24"/>
      <c r="P35" s="24">
        <f>8647-E35</f>
        <v>5164</v>
      </c>
      <c r="Q35" s="24"/>
      <c r="R35" s="24">
        <f>G35+J35+P35</f>
        <v>9510.7839999999997</v>
      </c>
      <c r="S35" s="26">
        <f t="shared" si="0"/>
        <v>114129.408</v>
      </c>
    </row>
    <row r="36" spans="1:19" ht="18" customHeight="1" x14ac:dyDescent="0.25">
      <c r="A36" s="21" t="s">
        <v>72</v>
      </c>
      <c r="B36" s="22" t="s">
        <v>73</v>
      </c>
      <c r="C36" s="23">
        <v>1</v>
      </c>
      <c r="D36" s="23">
        <v>1</v>
      </c>
      <c r="E36" s="24">
        <v>3195</v>
      </c>
      <c r="F36" s="23"/>
      <c r="G36" s="24">
        <f t="shared" si="1"/>
        <v>3195</v>
      </c>
      <c r="H36" s="24"/>
      <c r="I36" s="24"/>
      <c r="J36" s="24"/>
      <c r="K36" s="24"/>
      <c r="L36" s="24"/>
      <c r="M36" s="24"/>
      <c r="N36" s="24"/>
      <c r="O36" s="24"/>
      <c r="P36" s="24">
        <f>8647-G36</f>
        <v>5452</v>
      </c>
      <c r="Q36" s="24"/>
      <c r="R36" s="24">
        <f t="shared" ref="R36" si="6">G36+H36+I36+ J36+K36+L36+N36+O36+P36</f>
        <v>8647</v>
      </c>
      <c r="S36" s="26">
        <f t="shared" si="0"/>
        <v>103764</v>
      </c>
    </row>
    <row r="37" spans="1:19" x14ac:dyDescent="0.25">
      <c r="A37" s="21" t="s">
        <v>74</v>
      </c>
      <c r="B37" s="22" t="s">
        <v>75</v>
      </c>
      <c r="C37" s="23">
        <v>1</v>
      </c>
      <c r="D37" s="23">
        <v>5</v>
      </c>
      <c r="E37" s="24">
        <v>4345</v>
      </c>
      <c r="F37" s="24"/>
      <c r="G37" s="24">
        <f>E37+F37</f>
        <v>4345</v>
      </c>
      <c r="H37" s="24"/>
      <c r="I37" s="24"/>
      <c r="J37" s="24"/>
      <c r="K37" s="24"/>
      <c r="L37" s="24"/>
      <c r="M37" s="24"/>
      <c r="N37" s="24"/>
      <c r="O37" s="24"/>
      <c r="P37" s="24">
        <f>8647-G37</f>
        <v>4302</v>
      </c>
      <c r="Q37" s="35"/>
      <c r="R37" s="24">
        <f>G37+P37</f>
        <v>8647</v>
      </c>
      <c r="S37" s="26">
        <f t="shared" si="0"/>
        <v>103764</v>
      </c>
    </row>
    <row r="38" spans="1:19" s="33" customFormat="1" ht="20.399999999999999" customHeight="1" thickBot="1" x14ac:dyDescent="0.3">
      <c r="A38" s="28"/>
      <c r="B38" s="29" t="s">
        <v>58</v>
      </c>
      <c r="C38" s="30">
        <f>SUM(C29:C37)</f>
        <v>8</v>
      </c>
      <c r="D38" s="30"/>
      <c r="E38" s="31">
        <f>SUM(E29:E37)</f>
        <v>29729.5</v>
      </c>
      <c r="F38" s="30">
        <f>SUM(F29:F37)</f>
        <v>696.6</v>
      </c>
      <c r="G38" s="31">
        <f>E38+F38</f>
        <v>30426.1</v>
      </c>
      <c r="H38" s="31"/>
      <c r="I38" s="31">
        <f>SUM(I29:I36)</f>
        <v>0</v>
      </c>
      <c r="J38" s="31">
        <f>SUM(J29:J36)</f>
        <v>167.18400000000003</v>
      </c>
      <c r="K38" s="31"/>
      <c r="L38" s="31"/>
      <c r="M38" s="31"/>
      <c r="N38" s="31"/>
      <c r="O38" s="31"/>
      <c r="P38" s="31">
        <f>SUM(P29:P37)</f>
        <v>43770</v>
      </c>
      <c r="Q38" s="31"/>
      <c r="R38" s="31">
        <f>SUM(R29:R37)</f>
        <v>74363.284</v>
      </c>
      <c r="S38" s="36">
        <f>SUM(S29:S37)</f>
        <v>892359.40800000005</v>
      </c>
    </row>
    <row r="39" spans="1:19" ht="15.6" customHeight="1" x14ac:dyDescent="0.25">
      <c r="A39" s="17"/>
      <c r="B39" s="18" t="s">
        <v>76</v>
      </c>
      <c r="C39" s="37"/>
      <c r="D39" s="37"/>
      <c r="E39" s="37"/>
      <c r="F39" s="37"/>
      <c r="G39" s="38"/>
      <c r="H39" s="37" t="s">
        <v>77</v>
      </c>
      <c r="I39" s="39"/>
      <c r="J39" s="39"/>
      <c r="K39" s="37"/>
      <c r="L39" s="39"/>
      <c r="M39" s="39"/>
      <c r="N39" s="39"/>
      <c r="O39" s="39"/>
      <c r="P39" s="39"/>
      <c r="Q39" s="37"/>
      <c r="R39" s="37"/>
      <c r="S39" s="40"/>
    </row>
    <row r="40" spans="1:19" s="13" customFormat="1" x14ac:dyDescent="0.2">
      <c r="A40" s="41" t="s">
        <v>78</v>
      </c>
      <c r="B40" s="22" t="s">
        <v>79</v>
      </c>
      <c r="C40" s="23">
        <v>2.5</v>
      </c>
      <c r="D40" s="23">
        <v>2</v>
      </c>
      <c r="E40" s="24">
        <f>3483*C40</f>
        <v>8707.5</v>
      </c>
      <c r="F40" s="23"/>
      <c r="G40" s="24">
        <f t="shared" ref="G40:G41" si="7">E40+F40</f>
        <v>8707.5</v>
      </c>
      <c r="H40" s="24"/>
      <c r="I40" s="24"/>
      <c r="J40" s="24"/>
      <c r="K40" s="24"/>
      <c r="L40" s="24"/>
      <c r="M40" s="24"/>
      <c r="N40" s="24"/>
      <c r="O40" s="24"/>
      <c r="P40" s="24">
        <f>8647*C40-G40</f>
        <v>12910</v>
      </c>
      <c r="Q40" s="24"/>
      <c r="R40" s="24">
        <f t="shared" ref="R40" si="8">G40+H40+I40+ J40+K40+L40+N40+O40+P40</f>
        <v>21617.5</v>
      </c>
      <c r="S40" s="26">
        <f>R40*12</f>
        <v>259410</v>
      </c>
    </row>
    <row r="41" spans="1:19" s="43" customFormat="1" ht="16.8" customHeight="1" thickBot="1" x14ac:dyDescent="0.3">
      <c r="A41" s="42"/>
      <c r="B41" s="29" t="s">
        <v>58</v>
      </c>
      <c r="C41" s="30">
        <f>SUM(C40:C40)</f>
        <v>2.5</v>
      </c>
      <c r="D41" s="30"/>
      <c r="E41" s="31">
        <f>SUM(E40:E40)</f>
        <v>8707.5</v>
      </c>
      <c r="F41" s="30"/>
      <c r="G41" s="31">
        <f t="shared" si="7"/>
        <v>8707.5</v>
      </c>
      <c r="H41" s="31"/>
      <c r="I41" s="31"/>
      <c r="J41" s="31"/>
      <c r="K41" s="31"/>
      <c r="L41" s="31"/>
      <c r="M41" s="31"/>
      <c r="N41" s="31"/>
      <c r="O41" s="31"/>
      <c r="P41" s="31">
        <f>SUM(P40:P40)</f>
        <v>12910</v>
      </c>
      <c r="Q41" s="31"/>
      <c r="R41" s="31">
        <f>SUM(G41:Q41)</f>
        <v>21617.5</v>
      </c>
      <c r="S41" s="36">
        <f>SUM(S40:S40)</f>
        <v>259410</v>
      </c>
    </row>
    <row r="42" spans="1:19" s="44" customFormat="1" ht="17.399999999999999" customHeight="1" x14ac:dyDescent="0.25">
      <c r="A42" s="17"/>
      <c r="B42" s="18" t="s">
        <v>80</v>
      </c>
      <c r="C42" s="18"/>
      <c r="D42" s="18"/>
      <c r="E42" s="18"/>
      <c r="F42" s="18"/>
      <c r="G42" s="38"/>
      <c r="H42" s="18"/>
      <c r="I42" s="19"/>
      <c r="J42" s="19"/>
      <c r="K42" s="18"/>
      <c r="L42" s="19"/>
      <c r="M42" s="19"/>
      <c r="N42" s="19"/>
      <c r="O42" s="19"/>
      <c r="P42" s="19"/>
      <c r="Q42" s="18"/>
      <c r="R42" s="18"/>
      <c r="S42" s="20"/>
    </row>
    <row r="43" spans="1:19" s="44" customFormat="1" ht="16.95" customHeight="1" x14ac:dyDescent="0.25">
      <c r="A43" s="21" t="s">
        <v>81</v>
      </c>
      <c r="B43" s="22" t="s">
        <v>64</v>
      </c>
      <c r="C43" s="23">
        <v>0.5</v>
      </c>
      <c r="D43" s="23">
        <v>1</v>
      </c>
      <c r="E43" s="23">
        <v>1597.5</v>
      </c>
      <c r="F43" s="23"/>
      <c r="G43" s="23">
        <v>1597.5</v>
      </c>
      <c r="H43" s="23"/>
      <c r="I43" s="25"/>
      <c r="J43" s="25"/>
      <c r="K43" s="23"/>
      <c r="L43" s="25"/>
      <c r="M43" s="25"/>
      <c r="N43" s="25"/>
      <c r="O43" s="25"/>
      <c r="P43" s="24">
        <f>8647/2-G43</f>
        <v>2726</v>
      </c>
      <c r="Q43" s="23"/>
      <c r="R43" s="24">
        <f t="shared" ref="R43" si="9">G43+H43+I43+ J43+K43+L43+N43+O43+P43</f>
        <v>4323.5</v>
      </c>
      <c r="S43" s="26">
        <f>R43*12</f>
        <v>51882</v>
      </c>
    </row>
    <row r="44" spans="1:19" x14ac:dyDescent="0.25">
      <c r="A44" s="21" t="s">
        <v>82</v>
      </c>
      <c r="B44" s="22" t="s">
        <v>83</v>
      </c>
      <c r="C44" s="23">
        <v>2</v>
      </c>
      <c r="D44" s="23">
        <v>4</v>
      </c>
      <c r="E44" s="24">
        <f>4058*C44</f>
        <v>8116</v>
      </c>
      <c r="F44" s="23"/>
      <c r="G44" s="24">
        <f t="shared" ref="G44:G45" si="10">E44+F44</f>
        <v>8116</v>
      </c>
      <c r="H44" s="24"/>
      <c r="I44" s="24"/>
      <c r="J44" s="24">
        <f>G44*0.04</f>
        <v>324.64</v>
      </c>
      <c r="K44" s="24"/>
      <c r="L44" s="24"/>
      <c r="M44" s="24"/>
      <c r="N44" s="24"/>
      <c r="O44" s="24"/>
      <c r="P44" s="24">
        <f>8647*C44-G44</f>
        <v>9178</v>
      </c>
      <c r="Q44" s="24"/>
      <c r="R44" s="24">
        <f>SUM(G44:P44)</f>
        <v>17618.64</v>
      </c>
      <c r="S44" s="26">
        <f t="shared" ref="S44:S45" si="11">R44*12</f>
        <v>211423.68</v>
      </c>
    </row>
    <row r="45" spans="1:19" x14ac:dyDescent="0.25">
      <c r="A45" s="21" t="s">
        <v>84</v>
      </c>
      <c r="B45" s="22" t="s">
        <v>85</v>
      </c>
      <c r="C45" s="23">
        <v>2</v>
      </c>
      <c r="D45" s="23">
        <v>1</v>
      </c>
      <c r="E45" s="24">
        <f>3195*C45</f>
        <v>6390</v>
      </c>
      <c r="F45" s="23"/>
      <c r="G45" s="24">
        <f t="shared" si="10"/>
        <v>6390</v>
      </c>
      <c r="H45" s="24"/>
      <c r="I45" s="24">
        <f>G45*0.1</f>
        <v>639</v>
      </c>
      <c r="J45" s="24"/>
      <c r="K45" s="24"/>
      <c r="L45" s="24"/>
      <c r="M45" s="24"/>
      <c r="N45" s="24"/>
      <c r="O45" s="24"/>
      <c r="P45" s="24">
        <f>8647*C45-G45</f>
        <v>10904</v>
      </c>
      <c r="Q45" s="24"/>
      <c r="R45" s="24">
        <f>SUM(G45:P45)</f>
        <v>17933</v>
      </c>
      <c r="S45" s="26">
        <f t="shared" si="11"/>
        <v>215196</v>
      </c>
    </row>
    <row r="46" spans="1:19" s="43" customFormat="1" ht="18" customHeight="1" thickBot="1" x14ac:dyDescent="0.3">
      <c r="A46" s="42"/>
      <c r="B46" s="29" t="s">
        <v>58</v>
      </c>
      <c r="C46" s="30">
        <f>SUM(C43:C45)</f>
        <v>4.5</v>
      </c>
      <c r="D46" s="30"/>
      <c r="E46" s="31">
        <f>SUM(E43:E45)</f>
        <v>16103.5</v>
      </c>
      <c r="F46" s="30"/>
      <c r="G46" s="31">
        <f>SUM(G43:G45)</f>
        <v>16103.5</v>
      </c>
      <c r="H46" s="31"/>
      <c r="I46" s="31">
        <f>SUM(I45:I45)</f>
        <v>639</v>
      </c>
      <c r="J46" s="31">
        <f>SUM(J44:J45)</f>
        <v>324.64</v>
      </c>
      <c r="K46" s="31"/>
      <c r="L46" s="31"/>
      <c r="M46" s="31"/>
      <c r="N46" s="31"/>
      <c r="O46" s="31"/>
      <c r="P46" s="31">
        <f>SUM(P43:P45)</f>
        <v>22808</v>
      </c>
      <c r="Q46" s="31"/>
      <c r="R46" s="31">
        <f>SUM(R43:R45)</f>
        <v>39875.14</v>
      </c>
      <c r="S46" s="36">
        <f>SUM(S43:S45)</f>
        <v>478501.68</v>
      </c>
    </row>
    <row r="47" spans="1:19" s="50" customFormat="1" ht="13.5" customHeight="1" x14ac:dyDescent="0.25">
      <c r="A47" s="45" t="s">
        <v>86</v>
      </c>
      <c r="B47" s="46" t="s">
        <v>87</v>
      </c>
      <c r="C47" s="47"/>
      <c r="D47" s="47"/>
      <c r="E47" s="48"/>
      <c r="F47" s="47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9"/>
    </row>
    <row r="48" spans="1:19" s="54" customFormat="1" x14ac:dyDescent="0.25">
      <c r="A48" s="51" t="s">
        <v>88</v>
      </c>
      <c r="B48" s="22" t="s">
        <v>89</v>
      </c>
      <c r="C48" s="23">
        <v>0.5</v>
      </c>
      <c r="D48" s="23">
        <v>10</v>
      </c>
      <c r="E48" s="24">
        <f>5815*C48</f>
        <v>2907.5</v>
      </c>
      <c r="F48" s="23"/>
      <c r="G48" s="24">
        <f>E48</f>
        <v>2907.5</v>
      </c>
      <c r="H48" s="24"/>
      <c r="I48" s="24"/>
      <c r="J48" s="52"/>
      <c r="K48" s="24">
        <f>G48*0.3</f>
        <v>872.25</v>
      </c>
      <c r="L48" s="53">
        <f>20000*C48-G48-K48</f>
        <v>6220.25</v>
      </c>
      <c r="M48" s="24"/>
      <c r="N48" s="24"/>
      <c r="O48" s="24"/>
      <c r="P48" s="24"/>
      <c r="Q48" s="24"/>
      <c r="R48" s="24">
        <f>G48+K48+L48</f>
        <v>10000</v>
      </c>
      <c r="S48" s="26">
        <f>R48*12</f>
        <v>120000</v>
      </c>
    </row>
    <row r="49" spans="1:20" s="54" customFormat="1" x14ac:dyDescent="0.25">
      <c r="A49" s="51" t="s">
        <v>90</v>
      </c>
      <c r="B49" s="22" t="s">
        <v>91</v>
      </c>
      <c r="C49" s="23">
        <v>3</v>
      </c>
      <c r="D49" s="23">
        <v>9</v>
      </c>
      <c r="E49" s="24">
        <f>5527*C49</f>
        <v>16581</v>
      </c>
      <c r="F49" s="23"/>
      <c r="G49" s="24">
        <f>E49</f>
        <v>16581</v>
      </c>
      <c r="H49" s="24"/>
      <c r="I49" s="24"/>
      <c r="J49" s="52"/>
      <c r="K49" s="24"/>
      <c r="L49" s="53">
        <f>15000*C49-G49-K49</f>
        <v>28419</v>
      </c>
      <c r="M49" s="24"/>
      <c r="N49" s="24"/>
      <c r="O49" s="24"/>
      <c r="P49" s="24"/>
      <c r="Q49" s="24"/>
      <c r="R49" s="24">
        <f>G49+K49+L49</f>
        <v>45000</v>
      </c>
      <c r="S49" s="26">
        <f t="shared" ref="S49:S53" si="12">R49*12</f>
        <v>540000</v>
      </c>
    </row>
    <row r="50" spans="1:20" s="54" customFormat="1" x14ac:dyDescent="0.25">
      <c r="A50" s="51" t="s">
        <v>92</v>
      </c>
      <c r="B50" s="22" t="s">
        <v>93</v>
      </c>
      <c r="C50" s="23">
        <v>1</v>
      </c>
      <c r="D50" s="23">
        <v>10</v>
      </c>
      <c r="E50" s="24">
        <v>5815</v>
      </c>
      <c r="F50" s="23"/>
      <c r="G50" s="24">
        <v>5815</v>
      </c>
      <c r="H50" s="24"/>
      <c r="I50" s="24"/>
      <c r="J50" s="52"/>
      <c r="K50" s="24">
        <f>G50*0.3</f>
        <v>1744.5</v>
      </c>
      <c r="L50" s="53">
        <f>13500-G50-K50</f>
        <v>5940.5</v>
      </c>
      <c r="M50" s="24"/>
      <c r="N50" s="24"/>
      <c r="O50" s="24"/>
      <c r="P50" s="24"/>
      <c r="Q50" s="24"/>
      <c r="R50" s="24">
        <f>G50+K50+L50</f>
        <v>13500</v>
      </c>
      <c r="S50" s="26">
        <f t="shared" si="12"/>
        <v>162000</v>
      </c>
    </row>
    <row r="51" spans="1:20" s="54" customFormat="1" x14ac:dyDescent="0.25">
      <c r="A51" s="51" t="s">
        <v>94</v>
      </c>
      <c r="B51" s="22" t="s">
        <v>95</v>
      </c>
      <c r="C51" s="23">
        <v>1</v>
      </c>
      <c r="D51" s="23">
        <v>4</v>
      </c>
      <c r="E51" s="24">
        <v>4058</v>
      </c>
      <c r="F51" s="23"/>
      <c r="G51" s="24">
        <v>4058</v>
      </c>
      <c r="H51" s="24"/>
      <c r="I51" s="24"/>
      <c r="J51" s="52"/>
      <c r="K51" s="24"/>
      <c r="L51" s="24"/>
      <c r="M51" s="24"/>
      <c r="N51" s="24"/>
      <c r="O51" s="24">
        <f>G51*200%</f>
        <v>8116</v>
      </c>
      <c r="P51" s="24"/>
      <c r="Q51" s="24"/>
      <c r="R51" s="24">
        <f>O51+G51</f>
        <v>12174</v>
      </c>
      <c r="S51" s="26">
        <f t="shared" si="12"/>
        <v>146088</v>
      </c>
    </row>
    <row r="52" spans="1:20" s="54" customFormat="1" x14ac:dyDescent="0.25">
      <c r="A52" s="51" t="s">
        <v>96</v>
      </c>
      <c r="B52" s="22" t="s">
        <v>97</v>
      </c>
      <c r="C52" s="23">
        <v>1</v>
      </c>
      <c r="D52" s="23">
        <v>5</v>
      </c>
      <c r="E52" s="24">
        <v>4345</v>
      </c>
      <c r="F52" s="24"/>
      <c r="G52" s="24">
        <f>E52+F52</f>
        <v>4345</v>
      </c>
      <c r="H52" s="24"/>
      <c r="I52" s="24"/>
      <c r="J52" s="24"/>
      <c r="K52" s="24"/>
      <c r="L52" s="24"/>
      <c r="M52" s="24"/>
      <c r="N52" s="24"/>
      <c r="O52" s="24"/>
      <c r="P52" s="24">
        <f>8647-G52</f>
        <v>4302</v>
      </c>
      <c r="Q52" s="35"/>
      <c r="R52" s="24">
        <f>G52+P52</f>
        <v>8647</v>
      </c>
      <c r="S52" s="26">
        <f t="shared" si="12"/>
        <v>103764</v>
      </c>
    </row>
    <row r="53" spans="1:20" x14ac:dyDescent="0.25">
      <c r="A53" s="51" t="s">
        <v>98</v>
      </c>
      <c r="B53" s="22" t="s">
        <v>99</v>
      </c>
      <c r="C53" s="23">
        <v>0.5</v>
      </c>
      <c r="D53" s="23">
        <v>9</v>
      </c>
      <c r="E53" s="24">
        <v>2763.5</v>
      </c>
      <c r="F53" s="23"/>
      <c r="G53" s="24">
        <f t="shared" ref="G53" si="13">E53+F53</f>
        <v>2763.5</v>
      </c>
      <c r="H53" s="24"/>
      <c r="I53" s="24"/>
      <c r="J53" s="24"/>
      <c r="K53" s="24">
        <f>G53*0.3</f>
        <v>829.05</v>
      </c>
      <c r="L53" s="24">
        <f>6750-G53-K53</f>
        <v>3157.45</v>
      </c>
      <c r="M53" s="24"/>
      <c r="N53" s="24"/>
      <c r="O53" s="24"/>
      <c r="P53" s="24"/>
      <c r="Q53" s="24"/>
      <c r="R53" s="24">
        <f>L53+K53+G53</f>
        <v>6750</v>
      </c>
      <c r="S53" s="26">
        <f t="shared" si="12"/>
        <v>81000</v>
      </c>
    </row>
    <row r="54" spans="1:20" s="60" customFormat="1" ht="13.8" customHeight="1" thickBot="1" x14ac:dyDescent="0.25">
      <c r="A54" s="55"/>
      <c r="B54" s="56" t="s">
        <v>58</v>
      </c>
      <c r="C54" s="57">
        <f>SUM(C48:C53)</f>
        <v>7</v>
      </c>
      <c r="D54" s="57"/>
      <c r="E54" s="58">
        <f>SUM(E48:E53)</f>
        <v>36470</v>
      </c>
      <c r="F54" s="57"/>
      <c r="G54" s="58">
        <f>SUM(G48:G53)</f>
        <v>36470</v>
      </c>
      <c r="H54" s="58"/>
      <c r="I54" s="58"/>
      <c r="J54" s="58"/>
      <c r="K54" s="58">
        <f>SUM(K48:K53)</f>
        <v>3445.8</v>
      </c>
      <c r="L54" s="58">
        <f>SUM(L48:L53)</f>
        <v>43737.2</v>
      </c>
      <c r="M54" s="58"/>
      <c r="N54" s="58"/>
      <c r="O54" s="58">
        <f>SUM(O48:O52)</f>
        <v>8116</v>
      </c>
      <c r="P54" s="58">
        <f>SUM(P48:P53)</f>
        <v>4302</v>
      </c>
      <c r="Q54" s="58"/>
      <c r="R54" s="58">
        <f>SUM(R48:R53)</f>
        <v>96071</v>
      </c>
      <c r="S54" s="59">
        <f>SUM(S48:S53)</f>
        <v>1152852</v>
      </c>
    </row>
    <row r="55" spans="1:20" s="44" customFormat="1" ht="22.8" customHeight="1" x14ac:dyDescent="0.25">
      <c r="A55" s="61"/>
      <c r="B55" s="18" t="s">
        <v>100</v>
      </c>
      <c r="C55" s="37"/>
      <c r="D55" s="37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62"/>
      <c r="R55" s="38"/>
      <c r="S55" s="63"/>
      <c r="T55" s="64"/>
    </row>
    <row r="56" spans="1:20" s="44" customFormat="1" x14ac:dyDescent="0.25">
      <c r="A56" s="51" t="s">
        <v>101</v>
      </c>
      <c r="B56" s="22" t="s">
        <v>102</v>
      </c>
      <c r="C56" s="23">
        <v>0.25</v>
      </c>
      <c r="D56" s="23">
        <v>14</v>
      </c>
      <c r="E56" s="24">
        <f>7732*C56</f>
        <v>1933</v>
      </c>
      <c r="F56" s="24">
        <f>E56*10%</f>
        <v>193.3</v>
      </c>
      <c r="G56" s="24">
        <f>E56+F56</f>
        <v>2126.3000000000002</v>
      </c>
      <c r="H56" s="24"/>
      <c r="I56" s="24"/>
      <c r="J56" s="24"/>
      <c r="K56" s="24">
        <f>G56*0.3</f>
        <v>637.89</v>
      </c>
      <c r="L56" s="24">
        <f>20000*C56-G56-K56</f>
        <v>2235.81</v>
      </c>
      <c r="M56" s="24"/>
      <c r="N56" s="24"/>
      <c r="O56" s="24"/>
      <c r="P56" s="24"/>
      <c r="Q56" s="35"/>
      <c r="R56" s="24">
        <f>G56+K56+L56</f>
        <v>5000</v>
      </c>
      <c r="S56" s="26">
        <f>R56*12</f>
        <v>60000</v>
      </c>
      <c r="T56" s="64"/>
    </row>
    <row r="57" spans="1:20" s="44" customFormat="1" x14ac:dyDescent="0.25">
      <c r="A57" s="51" t="s">
        <v>103</v>
      </c>
      <c r="B57" s="22" t="s">
        <v>104</v>
      </c>
      <c r="C57" s="23">
        <v>0.5</v>
      </c>
      <c r="D57" s="23">
        <v>13</v>
      </c>
      <c r="E57" s="24">
        <v>3626</v>
      </c>
      <c r="F57" s="24">
        <f>E57*0.15</f>
        <v>543.9</v>
      </c>
      <c r="G57" s="24">
        <f>E57+F57</f>
        <v>4169.8999999999996</v>
      </c>
      <c r="H57" s="24"/>
      <c r="I57" s="24"/>
      <c r="J57" s="24"/>
      <c r="K57" s="24">
        <f>G57*0.3</f>
        <v>1250.9699999999998</v>
      </c>
      <c r="L57" s="24">
        <f>20000*C57-G57-K57</f>
        <v>4579.130000000001</v>
      </c>
      <c r="M57" s="24"/>
      <c r="N57" s="24"/>
      <c r="O57" s="24"/>
      <c r="P57" s="24"/>
      <c r="Q57" s="35"/>
      <c r="R57" s="24">
        <f>G57+K57+L57</f>
        <v>10000</v>
      </c>
      <c r="S57" s="26">
        <f t="shared" ref="S57:S59" si="14">R57*12</f>
        <v>120000</v>
      </c>
      <c r="T57" s="64"/>
    </row>
    <row r="58" spans="1:20" s="44" customFormat="1" x14ac:dyDescent="0.25">
      <c r="A58" s="51" t="s">
        <v>105</v>
      </c>
      <c r="B58" s="22" t="s">
        <v>106</v>
      </c>
      <c r="C58" s="23">
        <v>0.5</v>
      </c>
      <c r="D58" s="23">
        <v>13</v>
      </c>
      <c r="E58" s="24">
        <v>3626</v>
      </c>
      <c r="F58" s="24">
        <f>E58*0.15</f>
        <v>543.9</v>
      </c>
      <c r="G58" s="24">
        <f>E58+F58</f>
        <v>4169.8999999999996</v>
      </c>
      <c r="H58" s="24"/>
      <c r="I58" s="24"/>
      <c r="J58" s="24"/>
      <c r="K58" s="24">
        <f>G58*0.3</f>
        <v>1250.9699999999998</v>
      </c>
      <c r="L58" s="24">
        <f>10000-G58-K58</f>
        <v>4579.130000000001</v>
      </c>
      <c r="M58" s="24"/>
      <c r="N58" s="24"/>
      <c r="O58" s="24"/>
      <c r="P58" s="24"/>
      <c r="Q58" s="35"/>
      <c r="R58" s="24">
        <f>G58+K58+L58</f>
        <v>10000</v>
      </c>
      <c r="S58" s="26">
        <f t="shared" si="14"/>
        <v>120000</v>
      </c>
      <c r="T58" s="64"/>
    </row>
    <row r="59" spans="1:20" s="44" customFormat="1" x14ac:dyDescent="0.25">
      <c r="A59" s="51" t="s">
        <v>107</v>
      </c>
      <c r="B59" s="22" t="s">
        <v>108</v>
      </c>
      <c r="C59" s="23">
        <v>1</v>
      </c>
      <c r="D59" s="23">
        <v>5</v>
      </c>
      <c r="E59" s="24">
        <v>4345</v>
      </c>
      <c r="F59" s="24"/>
      <c r="G59" s="24">
        <f>E59+F59</f>
        <v>4345</v>
      </c>
      <c r="H59" s="24"/>
      <c r="I59" s="24"/>
      <c r="J59" s="24"/>
      <c r="K59" s="24"/>
      <c r="L59" s="24"/>
      <c r="M59" s="24"/>
      <c r="N59" s="24"/>
      <c r="O59" s="24"/>
      <c r="P59" s="24">
        <f>8647-G59</f>
        <v>4302</v>
      </c>
      <c r="Q59" s="35"/>
      <c r="R59" s="24">
        <f>G59+P59</f>
        <v>8647</v>
      </c>
      <c r="S59" s="26">
        <f t="shared" si="14"/>
        <v>103764</v>
      </c>
      <c r="T59" s="64"/>
    </row>
    <row r="60" spans="1:20" s="66" customFormat="1" ht="20.399999999999999" customHeight="1" thickBot="1" x14ac:dyDescent="0.3">
      <c r="A60" s="28"/>
      <c r="B60" s="29" t="s">
        <v>58</v>
      </c>
      <c r="C60" s="30">
        <v>2.25</v>
      </c>
      <c r="D60" s="30"/>
      <c r="E60" s="31">
        <f>SUM(E56:E59)</f>
        <v>13530</v>
      </c>
      <c r="F60" s="31">
        <f t="shared" ref="F60" si="15">SUM(F56:F59)</f>
        <v>1281.0999999999999</v>
      </c>
      <c r="G60" s="31">
        <f>SUM(G56:G59)</f>
        <v>14811.099999999999</v>
      </c>
      <c r="H60" s="31"/>
      <c r="I60" s="31"/>
      <c r="J60" s="31"/>
      <c r="K60" s="31">
        <f t="shared" ref="K60:L60" si="16">SUM(K56:K59)</f>
        <v>3139.8299999999995</v>
      </c>
      <c r="L60" s="31">
        <f t="shared" si="16"/>
        <v>11394.070000000002</v>
      </c>
      <c r="M60" s="31"/>
      <c r="N60" s="31"/>
      <c r="O60" s="31"/>
      <c r="P60" s="31">
        <f t="shared" ref="P60:Q60" si="17">SUM(P56:P59)</f>
        <v>4302</v>
      </c>
      <c r="Q60" s="31">
        <f t="shared" si="17"/>
        <v>0</v>
      </c>
      <c r="R60" s="31">
        <f>SUM(G60:Q60)</f>
        <v>33647</v>
      </c>
      <c r="S60" s="36">
        <f>SUM(S56:S59)</f>
        <v>403764</v>
      </c>
      <c r="T60" s="65"/>
    </row>
    <row r="61" spans="1:20" ht="24" customHeight="1" x14ac:dyDescent="0.25">
      <c r="A61" s="17"/>
      <c r="B61" s="18" t="s">
        <v>109</v>
      </c>
      <c r="C61" s="18"/>
      <c r="D61" s="18"/>
      <c r="E61" s="34"/>
      <c r="F61" s="18"/>
      <c r="G61" s="38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67"/>
    </row>
    <row r="62" spans="1:20" s="13" customFormat="1" ht="38.4" customHeight="1" x14ac:dyDescent="0.2">
      <c r="A62" s="41"/>
      <c r="B62" s="68" t="s">
        <v>110</v>
      </c>
      <c r="C62" s="23"/>
      <c r="D62" s="23"/>
      <c r="E62" s="24"/>
      <c r="F62" s="23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6"/>
    </row>
    <row r="63" spans="1:20" ht="13.95" customHeight="1" x14ac:dyDescent="0.25">
      <c r="A63" s="21" t="s">
        <v>111</v>
      </c>
      <c r="B63" s="22" t="s">
        <v>112</v>
      </c>
      <c r="C63" s="23">
        <v>1</v>
      </c>
      <c r="D63" s="23">
        <v>11</v>
      </c>
      <c r="E63" s="24">
        <v>6294</v>
      </c>
      <c r="F63" s="23">
        <f>E63*0.25</f>
        <v>1573.5</v>
      </c>
      <c r="G63" s="24">
        <f t="shared" ref="G63:G126" si="18">E63+F63</f>
        <v>7867.5</v>
      </c>
      <c r="H63" s="24"/>
      <c r="I63" s="24"/>
      <c r="J63" s="24"/>
      <c r="K63" s="24">
        <f>G63*0.3</f>
        <v>2360.25</v>
      </c>
      <c r="L63" s="53">
        <f>20000-G63-K63</f>
        <v>9772.25</v>
      </c>
      <c r="M63" s="24"/>
      <c r="N63" s="24"/>
      <c r="O63" s="24"/>
      <c r="P63" s="24"/>
      <c r="Q63" s="24"/>
      <c r="R63" s="24">
        <f t="shared" ref="R63:R75" si="19">G63+K63+L63</f>
        <v>20000</v>
      </c>
      <c r="S63" s="26">
        <f>R63*12</f>
        <v>240000</v>
      </c>
    </row>
    <row r="64" spans="1:20" x14ac:dyDescent="0.25">
      <c r="A64" s="21" t="s">
        <v>113</v>
      </c>
      <c r="B64" s="22" t="s">
        <v>114</v>
      </c>
      <c r="C64" s="23">
        <v>1.25</v>
      </c>
      <c r="D64" s="23">
        <v>12</v>
      </c>
      <c r="E64" s="24">
        <f>6773*C64</f>
        <v>8466.25</v>
      </c>
      <c r="F64" s="23"/>
      <c r="G64" s="24">
        <f t="shared" si="18"/>
        <v>8466.25</v>
      </c>
      <c r="H64" s="24"/>
      <c r="I64" s="24"/>
      <c r="J64" s="24"/>
      <c r="K64" s="24">
        <f t="shared" ref="K64:K77" si="20">G64*0.3</f>
        <v>2539.875</v>
      </c>
      <c r="L64" s="24">
        <f>20000*C64-G64-K64</f>
        <v>13993.875</v>
      </c>
      <c r="M64" s="24"/>
      <c r="N64" s="24"/>
      <c r="O64" s="24"/>
      <c r="P64" s="24"/>
      <c r="Q64" s="24"/>
      <c r="R64" s="24">
        <f t="shared" si="19"/>
        <v>25000</v>
      </c>
      <c r="S64" s="26">
        <f t="shared" ref="S64:S80" si="21">R64*12</f>
        <v>300000</v>
      </c>
    </row>
    <row r="65" spans="1:20" x14ac:dyDescent="0.25">
      <c r="A65" s="21" t="s">
        <v>115</v>
      </c>
      <c r="B65" s="22" t="s">
        <v>116</v>
      </c>
      <c r="C65" s="23">
        <v>1</v>
      </c>
      <c r="D65" s="23">
        <v>14</v>
      </c>
      <c r="E65" s="24">
        <v>7732</v>
      </c>
      <c r="F65" s="23"/>
      <c r="G65" s="24">
        <f t="shared" si="18"/>
        <v>7732</v>
      </c>
      <c r="H65" s="24"/>
      <c r="I65" s="24"/>
      <c r="J65" s="24"/>
      <c r="K65" s="24">
        <f t="shared" si="20"/>
        <v>2319.6</v>
      </c>
      <c r="L65" s="53">
        <f>20000-G65-K65</f>
        <v>9948.4</v>
      </c>
      <c r="M65" s="24"/>
      <c r="N65" s="24"/>
      <c r="O65" s="24"/>
      <c r="P65" s="24"/>
      <c r="Q65" s="24"/>
      <c r="R65" s="24">
        <f t="shared" si="19"/>
        <v>20000</v>
      </c>
      <c r="S65" s="26">
        <f t="shared" si="21"/>
        <v>240000</v>
      </c>
    </row>
    <row r="66" spans="1:20" x14ac:dyDescent="0.25">
      <c r="A66" s="21" t="s">
        <v>117</v>
      </c>
      <c r="B66" s="22" t="s">
        <v>118</v>
      </c>
      <c r="C66" s="23">
        <v>0.5</v>
      </c>
      <c r="D66" s="23">
        <v>14</v>
      </c>
      <c r="E66" s="24">
        <v>3868</v>
      </c>
      <c r="F66" s="23"/>
      <c r="G66" s="24">
        <f t="shared" si="18"/>
        <v>3868</v>
      </c>
      <c r="H66" s="24"/>
      <c r="I66" s="24"/>
      <c r="J66" s="24"/>
      <c r="K66" s="24">
        <f t="shared" si="20"/>
        <v>1160.3999999999999</v>
      </c>
      <c r="L66" s="53">
        <f>20000/2-G66-K66</f>
        <v>4971.6000000000004</v>
      </c>
      <c r="M66" s="24"/>
      <c r="N66" s="24"/>
      <c r="O66" s="24"/>
      <c r="P66" s="24"/>
      <c r="Q66" s="24"/>
      <c r="R66" s="24">
        <f t="shared" si="19"/>
        <v>10000</v>
      </c>
      <c r="S66" s="26">
        <f t="shared" si="21"/>
        <v>120000</v>
      </c>
    </row>
    <row r="67" spans="1:20" x14ac:dyDescent="0.25">
      <c r="A67" s="21" t="s">
        <v>119</v>
      </c>
      <c r="B67" s="22" t="s">
        <v>120</v>
      </c>
      <c r="C67" s="23">
        <v>0.25</v>
      </c>
      <c r="D67" s="23">
        <v>14</v>
      </c>
      <c r="E67" s="24">
        <f>7732*C67</f>
        <v>1933</v>
      </c>
      <c r="F67" s="23"/>
      <c r="G67" s="24">
        <f t="shared" si="18"/>
        <v>1933</v>
      </c>
      <c r="H67" s="24"/>
      <c r="I67" s="24"/>
      <c r="J67" s="24"/>
      <c r="K67" s="24">
        <f t="shared" si="20"/>
        <v>579.9</v>
      </c>
      <c r="L67" s="53">
        <f>20000*C67-G67-K67</f>
        <v>2487.1</v>
      </c>
      <c r="M67" s="24"/>
      <c r="N67" s="24"/>
      <c r="O67" s="24"/>
      <c r="P67" s="24"/>
      <c r="Q67" s="24"/>
      <c r="R67" s="24">
        <f t="shared" si="19"/>
        <v>5000</v>
      </c>
      <c r="S67" s="26">
        <f t="shared" si="21"/>
        <v>60000</v>
      </c>
    </row>
    <row r="68" spans="1:20" x14ac:dyDescent="0.25">
      <c r="A68" s="21" t="s">
        <v>121</v>
      </c>
      <c r="B68" s="22" t="s">
        <v>122</v>
      </c>
      <c r="C68" s="23">
        <v>2.5</v>
      </c>
      <c r="D68" s="23">
        <v>13</v>
      </c>
      <c r="E68" s="24">
        <f>7253*C68</f>
        <v>18132.5</v>
      </c>
      <c r="F68" s="23"/>
      <c r="G68" s="24">
        <f t="shared" si="18"/>
        <v>18132.5</v>
      </c>
      <c r="H68" s="24"/>
      <c r="I68" s="24"/>
      <c r="J68" s="24"/>
      <c r="K68" s="24">
        <f t="shared" si="20"/>
        <v>5439.75</v>
      </c>
      <c r="L68" s="53">
        <f t="shared" ref="L68:L73" si="22">20000*C68-G68-K68-N68</f>
        <v>24229.85</v>
      </c>
      <c r="M68" s="24"/>
      <c r="N68" s="24">
        <f>879.16*C68</f>
        <v>2197.9</v>
      </c>
      <c r="O68" s="24"/>
      <c r="P68" s="24"/>
      <c r="Q68" s="24"/>
      <c r="R68" s="24">
        <f t="shared" ref="R68:R73" si="23">G68+K68+L68+N68</f>
        <v>50000</v>
      </c>
      <c r="S68" s="26">
        <f t="shared" si="21"/>
        <v>600000</v>
      </c>
    </row>
    <row r="69" spans="1:20" ht="11.4" customHeight="1" x14ac:dyDescent="0.25">
      <c r="A69" s="21" t="s">
        <v>121</v>
      </c>
      <c r="B69" s="22" t="s">
        <v>123</v>
      </c>
      <c r="C69" s="23">
        <v>0.5</v>
      </c>
      <c r="D69" s="23">
        <v>14</v>
      </c>
      <c r="E69" s="24">
        <f>7732*C69</f>
        <v>3866</v>
      </c>
      <c r="F69" s="23"/>
      <c r="G69" s="24">
        <f t="shared" si="18"/>
        <v>3866</v>
      </c>
      <c r="H69" s="24"/>
      <c r="I69" s="24"/>
      <c r="J69" s="24"/>
      <c r="K69" s="24">
        <f t="shared" si="20"/>
        <v>1159.8</v>
      </c>
      <c r="L69" s="53">
        <f t="shared" si="22"/>
        <v>4505.5999999999995</v>
      </c>
      <c r="M69" s="24"/>
      <c r="N69" s="24">
        <v>468.6</v>
      </c>
      <c r="O69" s="24"/>
      <c r="P69" s="24"/>
      <c r="Q69" s="24"/>
      <c r="R69" s="24">
        <f t="shared" si="23"/>
        <v>10000</v>
      </c>
      <c r="S69" s="26">
        <f t="shared" si="21"/>
        <v>120000</v>
      </c>
    </row>
    <row r="70" spans="1:20" x14ac:dyDescent="0.25">
      <c r="A70" s="21" t="s">
        <v>121</v>
      </c>
      <c r="B70" s="22" t="s">
        <v>124</v>
      </c>
      <c r="C70" s="23">
        <v>0.25</v>
      </c>
      <c r="D70" s="23">
        <v>14</v>
      </c>
      <c r="E70" s="24">
        <f>7732*C70</f>
        <v>1933</v>
      </c>
      <c r="F70" s="23"/>
      <c r="G70" s="24">
        <f t="shared" si="18"/>
        <v>1933</v>
      </c>
      <c r="H70" s="24"/>
      <c r="I70" s="24"/>
      <c r="J70" s="24"/>
      <c r="K70" s="24">
        <f t="shared" si="20"/>
        <v>579.9</v>
      </c>
      <c r="L70" s="53">
        <f t="shared" si="22"/>
        <v>2252.7999999999997</v>
      </c>
      <c r="M70" s="24"/>
      <c r="N70" s="24">
        <v>234.3</v>
      </c>
      <c r="O70" s="24"/>
      <c r="P70" s="24"/>
      <c r="Q70" s="24"/>
      <c r="R70" s="24">
        <f t="shared" si="23"/>
        <v>5000</v>
      </c>
      <c r="S70" s="26">
        <f t="shared" si="21"/>
        <v>60000</v>
      </c>
    </row>
    <row r="71" spans="1:20" x14ac:dyDescent="0.25">
      <c r="A71" s="21" t="s">
        <v>121</v>
      </c>
      <c r="B71" s="22" t="s">
        <v>125</v>
      </c>
      <c r="C71" s="23">
        <v>0.5</v>
      </c>
      <c r="D71" s="23">
        <v>14</v>
      </c>
      <c r="E71" s="24">
        <f>7732*C71</f>
        <v>3866</v>
      </c>
      <c r="F71" s="23"/>
      <c r="G71" s="24">
        <f t="shared" si="18"/>
        <v>3866</v>
      </c>
      <c r="H71" s="24"/>
      <c r="I71" s="24"/>
      <c r="J71" s="24"/>
      <c r="K71" s="24">
        <f t="shared" si="20"/>
        <v>1159.8</v>
      </c>
      <c r="L71" s="53">
        <f t="shared" si="22"/>
        <v>4739.8999999999996</v>
      </c>
      <c r="M71" s="24"/>
      <c r="N71" s="24">
        <v>234.3</v>
      </c>
      <c r="O71" s="24"/>
      <c r="P71" s="24"/>
      <c r="Q71" s="24"/>
      <c r="R71" s="24">
        <f t="shared" si="23"/>
        <v>10000</v>
      </c>
      <c r="S71" s="26">
        <f t="shared" si="21"/>
        <v>120000</v>
      </c>
    </row>
    <row r="72" spans="1:20" x14ac:dyDescent="0.25">
      <c r="A72" s="21" t="s">
        <v>121</v>
      </c>
      <c r="B72" s="22" t="s">
        <v>126</v>
      </c>
      <c r="C72" s="23">
        <v>1</v>
      </c>
      <c r="D72" s="23">
        <v>14</v>
      </c>
      <c r="E72" s="24">
        <f>7732*C72</f>
        <v>7732</v>
      </c>
      <c r="F72" s="23"/>
      <c r="G72" s="24">
        <f t="shared" si="18"/>
        <v>7732</v>
      </c>
      <c r="H72" s="24"/>
      <c r="I72" s="24"/>
      <c r="J72" s="24"/>
      <c r="K72" s="24">
        <f t="shared" si="20"/>
        <v>2319.6</v>
      </c>
      <c r="L72" s="53">
        <f t="shared" si="22"/>
        <v>9011.1999999999989</v>
      </c>
      <c r="M72" s="24"/>
      <c r="N72" s="24">
        <v>937.2</v>
      </c>
      <c r="O72" s="24"/>
      <c r="P72" s="24"/>
      <c r="Q72" s="24"/>
      <c r="R72" s="24">
        <f t="shared" si="23"/>
        <v>20000</v>
      </c>
      <c r="S72" s="26">
        <f t="shared" si="21"/>
        <v>240000</v>
      </c>
    </row>
    <row r="73" spans="1:20" x14ac:dyDescent="0.25">
      <c r="A73" s="21" t="s">
        <v>121</v>
      </c>
      <c r="B73" s="22" t="s">
        <v>127</v>
      </c>
      <c r="C73" s="23">
        <v>0.5</v>
      </c>
      <c r="D73" s="23">
        <v>13</v>
      </c>
      <c r="E73" s="24">
        <f>7253*C73</f>
        <v>3626.5</v>
      </c>
      <c r="F73" s="23"/>
      <c r="G73" s="24">
        <f t="shared" si="18"/>
        <v>3626.5</v>
      </c>
      <c r="H73" s="24"/>
      <c r="I73" s="24"/>
      <c r="J73" s="24"/>
      <c r="K73" s="24">
        <f t="shared" si="20"/>
        <v>1087.95</v>
      </c>
      <c r="L73" s="53">
        <f t="shared" si="22"/>
        <v>4845.97</v>
      </c>
      <c r="M73" s="24"/>
      <c r="N73" s="24">
        <f>879.16*C73</f>
        <v>439.58</v>
      </c>
      <c r="O73" s="24"/>
      <c r="P73" s="24"/>
      <c r="Q73" s="24"/>
      <c r="R73" s="24">
        <f t="shared" si="23"/>
        <v>10000</v>
      </c>
      <c r="S73" s="26">
        <f t="shared" si="21"/>
        <v>120000</v>
      </c>
    </row>
    <row r="74" spans="1:20" s="13" customFormat="1" x14ac:dyDescent="0.25">
      <c r="A74" s="21" t="s">
        <v>121</v>
      </c>
      <c r="B74" s="22" t="s">
        <v>128</v>
      </c>
      <c r="C74" s="23">
        <v>0.25</v>
      </c>
      <c r="D74" s="23">
        <v>14</v>
      </c>
      <c r="E74" s="24">
        <f>7732*C74</f>
        <v>1933</v>
      </c>
      <c r="F74" s="23"/>
      <c r="G74" s="24">
        <f>E74+F74</f>
        <v>1933</v>
      </c>
      <c r="H74" s="24"/>
      <c r="I74" s="24"/>
      <c r="J74" s="24"/>
      <c r="K74" s="24">
        <f t="shared" si="20"/>
        <v>579.9</v>
      </c>
      <c r="L74" s="24">
        <f>20000*C74-G74-K74</f>
        <v>2487.1</v>
      </c>
      <c r="M74" s="24"/>
      <c r="N74" s="24">
        <v>234.3</v>
      </c>
      <c r="O74" s="24"/>
      <c r="P74" s="24"/>
      <c r="Q74" s="24"/>
      <c r="R74" s="24">
        <f>G74+K74+L74</f>
        <v>5000</v>
      </c>
      <c r="S74" s="26">
        <f t="shared" si="21"/>
        <v>60000</v>
      </c>
      <c r="T74" s="69"/>
    </row>
    <row r="75" spans="1:20" x14ac:dyDescent="0.25">
      <c r="A75" s="21" t="s">
        <v>129</v>
      </c>
      <c r="B75" s="22" t="s">
        <v>130</v>
      </c>
      <c r="C75" s="23">
        <v>1</v>
      </c>
      <c r="D75" s="23">
        <v>9</v>
      </c>
      <c r="E75" s="24">
        <v>5527</v>
      </c>
      <c r="F75" s="23">
        <f>E75*0.1</f>
        <v>552.70000000000005</v>
      </c>
      <c r="G75" s="24">
        <f t="shared" si="18"/>
        <v>6079.7</v>
      </c>
      <c r="H75" s="24"/>
      <c r="I75" s="24"/>
      <c r="J75" s="24"/>
      <c r="K75" s="24">
        <f t="shared" si="20"/>
        <v>1823.9099999999999</v>
      </c>
      <c r="L75" s="53">
        <v>5596.39</v>
      </c>
      <c r="M75" s="24"/>
      <c r="N75" s="24"/>
      <c r="O75" s="24"/>
      <c r="P75" s="24"/>
      <c r="Q75" s="24"/>
      <c r="R75" s="24">
        <f t="shared" si="19"/>
        <v>13500</v>
      </c>
      <c r="S75" s="26">
        <f t="shared" si="21"/>
        <v>162000</v>
      </c>
    </row>
    <row r="76" spans="1:20" x14ac:dyDescent="0.25">
      <c r="A76" s="21" t="s">
        <v>131</v>
      </c>
      <c r="B76" s="22" t="s">
        <v>132</v>
      </c>
      <c r="C76" s="23">
        <v>10</v>
      </c>
      <c r="D76" s="23">
        <v>9</v>
      </c>
      <c r="E76" s="24">
        <f>5527*C76</f>
        <v>55270</v>
      </c>
      <c r="F76" s="23"/>
      <c r="G76" s="24">
        <f t="shared" si="18"/>
        <v>55270</v>
      </c>
      <c r="H76" s="24"/>
      <c r="I76" s="24">
        <f t="shared" ref="I76:I78" si="24">G76*0.1</f>
        <v>5527</v>
      </c>
      <c r="J76" s="24"/>
      <c r="K76" s="24">
        <f t="shared" si="20"/>
        <v>16581</v>
      </c>
      <c r="L76" s="53">
        <f>13500*C76-G76-I76-K76-N76</f>
        <v>50922.6</v>
      </c>
      <c r="M76" s="24"/>
      <c r="N76" s="24">
        <f>669.94*C76</f>
        <v>6699.4000000000005</v>
      </c>
      <c r="O76" s="24"/>
      <c r="P76" s="24"/>
      <c r="Q76" s="24"/>
      <c r="R76" s="24">
        <f>G76+I76+K76+L76+N76</f>
        <v>135000</v>
      </c>
      <c r="S76" s="26">
        <f t="shared" si="21"/>
        <v>1620000</v>
      </c>
    </row>
    <row r="77" spans="1:20" x14ac:dyDescent="0.25">
      <c r="A77" s="21" t="s">
        <v>133</v>
      </c>
      <c r="B77" s="22" t="s">
        <v>134</v>
      </c>
      <c r="C77" s="23">
        <v>1</v>
      </c>
      <c r="D77" s="23">
        <v>6</v>
      </c>
      <c r="E77" s="24">
        <v>4633</v>
      </c>
      <c r="F77" s="23"/>
      <c r="G77" s="24">
        <f t="shared" si="18"/>
        <v>4633</v>
      </c>
      <c r="H77" s="24"/>
      <c r="I77" s="24">
        <f t="shared" si="24"/>
        <v>463.3</v>
      </c>
      <c r="J77" s="24"/>
      <c r="K77" s="24">
        <f t="shared" si="20"/>
        <v>1389.8999999999999</v>
      </c>
      <c r="L77" s="53">
        <f t="shared" ref="L77" si="25">13500-G77-I77-K77</f>
        <v>7013.8000000000011</v>
      </c>
      <c r="M77" s="24"/>
      <c r="N77" s="24"/>
      <c r="O77" s="24"/>
      <c r="P77" s="24"/>
      <c r="Q77" s="24"/>
      <c r="R77" s="24">
        <f t="shared" ref="R77" si="26">G77+I77+K77+L77</f>
        <v>13500</v>
      </c>
      <c r="S77" s="26">
        <f t="shared" si="21"/>
        <v>162000</v>
      </c>
    </row>
    <row r="78" spans="1:20" x14ac:dyDescent="0.25">
      <c r="A78" s="21" t="s">
        <v>135</v>
      </c>
      <c r="B78" s="22" t="s">
        <v>136</v>
      </c>
      <c r="C78" s="23">
        <v>6</v>
      </c>
      <c r="D78" s="23">
        <v>4</v>
      </c>
      <c r="E78" s="24">
        <f>4058*C78</f>
        <v>24348</v>
      </c>
      <c r="F78" s="23"/>
      <c r="G78" s="24">
        <f t="shared" si="18"/>
        <v>24348</v>
      </c>
      <c r="H78" s="24"/>
      <c r="I78" s="24">
        <f t="shared" si="24"/>
        <v>2434.8000000000002</v>
      </c>
      <c r="J78" s="24"/>
      <c r="K78" s="24"/>
      <c r="L78" s="24"/>
      <c r="M78" s="24"/>
      <c r="N78" s="24">
        <f>475.33*C78</f>
        <v>2851.98</v>
      </c>
      <c r="O78" s="24"/>
      <c r="P78" s="24">
        <f>8647*C78-G78</f>
        <v>27534</v>
      </c>
      <c r="Q78" s="24"/>
      <c r="R78" s="24">
        <f>E78+I78+P78+N78</f>
        <v>57168.780000000006</v>
      </c>
      <c r="S78" s="26">
        <f t="shared" si="21"/>
        <v>686025.3600000001</v>
      </c>
    </row>
    <row r="79" spans="1:20" x14ac:dyDescent="0.25">
      <c r="A79" s="21" t="s">
        <v>137</v>
      </c>
      <c r="B79" s="22" t="s">
        <v>138</v>
      </c>
      <c r="C79" s="23">
        <v>1</v>
      </c>
      <c r="D79" s="23">
        <v>3</v>
      </c>
      <c r="E79" s="24">
        <v>3770</v>
      </c>
      <c r="F79" s="23"/>
      <c r="G79" s="24">
        <f t="shared" si="18"/>
        <v>3770</v>
      </c>
      <c r="H79" s="24"/>
      <c r="I79" s="24"/>
      <c r="J79" s="24"/>
      <c r="K79" s="24"/>
      <c r="L79" s="24"/>
      <c r="M79" s="24"/>
      <c r="N79" s="24"/>
      <c r="O79" s="24"/>
      <c r="P79" s="24">
        <f>8647-G79</f>
        <v>4877</v>
      </c>
      <c r="Q79" s="24"/>
      <c r="R79" s="24">
        <f>G79+P79</f>
        <v>8647</v>
      </c>
      <c r="S79" s="26">
        <f t="shared" si="21"/>
        <v>103764</v>
      </c>
      <c r="T79" s="70"/>
    </row>
    <row r="80" spans="1:20" x14ac:dyDescent="0.25">
      <c r="A80" s="21" t="s">
        <v>139</v>
      </c>
      <c r="B80" s="22" t="s">
        <v>140</v>
      </c>
      <c r="C80" s="23">
        <v>1</v>
      </c>
      <c r="D80" s="23">
        <v>4</v>
      </c>
      <c r="E80" s="24">
        <v>4058</v>
      </c>
      <c r="F80" s="23"/>
      <c r="G80" s="24">
        <f t="shared" si="18"/>
        <v>4058</v>
      </c>
      <c r="H80" s="24"/>
      <c r="I80" s="24"/>
      <c r="J80" s="24"/>
      <c r="K80" s="24"/>
      <c r="L80" s="24"/>
      <c r="M80" s="24"/>
      <c r="N80" s="24"/>
      <c r="O80" s="24"/>
      <c r="P80" s="24">
        <f>8647-G80</f>
        <v>4589</v>
      </c>
      <c r="Q80" s="24"/>
      <c r="R80" s="24">
        <f>G80+P80</f>
        <v>8647</v>
      </c>
      <c r="S80" s="26">
        <f t="shared" si="21"/>
        <v>103764</v>
      </c>
      <c r="T80" s="70"/>
    </row>
    <row r="81" spans="1:20" s="33" customFormat="1" ht="24.6" customHeight="1" thickBot="1" x14ac:dyDescent="0.3">
      <c r="A81" s="28"/>
      <c r="B81" s="29" t="s">
        <v>58</v>
      </c>
      <c r="C81" s="30">
        <f>SUM(C63:C80)</f>
        <v>29.5</v>
      </c>
      <c r="D81" s="30"/>
      <c r="E81" s="31">
        <f>SUM(E63:E80)</f>
        <v>166988.25</v>
      </c>
      <c r="F81" s="30">
        <f>SUM(F63:F80)</f>
        <v>2126.1999999999998</v>
      </c>
      <c r="G81" s="31">
        <f>SUM(G63:G80)</f>
        <v>169114.45</v>
      </c>
      <c r="H81" s="31"/>
      <c r="I81" s="31">
        <f>SUM(I63:I80)</f>
        <v>8425.1</v>
      </c>
      <c r="J81" s="31"/>
      <c r="K81" s="31">
        <f>SUM(K63:K80)</f>
        <v>41081.534999999996</v>
      </c>
      <c r="L81" s="31">
        <f>SUM(L63:L80)</f>
        <v>156778.435</v>
      </c>
      <c r="M81" s="31"/>
      <c r="N81" s="31">
        <f>SUM(N68:N80)</f>
        <v>14297.560000000001</v>
      </c>
      <c r="O81" s="31"/>
      <c r="P81" s="31">
        <f>SUM(P63:P80)</f>
        <v>37000</v>
      </c>
      <c r="Q81" s="31"/>
      <c r="R81" s="31">
        <f>SUM(R63:R80)</f>
        <v>426462.78</v>
      </c>
      <c r="S81" s="36">
        <f>SUM(S63:S80)</f>
        <v>5117553.3600000003</v>
      </c>
      <c r="T81" s="71"/>
    </row>
    <row r="82" spans="1:20" s="13" customFormat="1" ht="20.399999999999999" customHeight="1" x14ac:dyDescent="0.2">
      <c r="A82" s="17"/>
      <c r="B82" s="72" t="s">
        <v>141</v>
      </c>
      <c r="C82" s="37"/>
      <c r="D82" s="37"/>
      <c r="E82" s="38"/>
      <c r="F82" s="37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63"/>
      <c r="T82" s="69"/>
    </row>
    <row r="83" spans="1:20" s="13" customFormat="1" x14ac:dyDescent="0.25">
      <c r="A83" s="21" t="s">
        <v>142</v>
      </c>
      <c r="B83" s="22" t="s">
        <v>102</v>
      </c>
      <c r="C83" s="23">
        <v>1</v>
      </c>
      <c r="D83" s="23">
        <v>12</v>
      </c>
      <c r="E83" s="24">
        <v>6773</v>
      </c>
      <c r="F83" s="23">
        <f>E83*0.25</f>
        <v>1693.25</v>
      </c>
      <c r="G83" s="24">
        <f t="shared" ref="G83:G110" si="27">E83+F83</f>
        <v>8466.25</v>
      </c>
      <c r="H83" s="24"/>
      <c r="I83" s="24"/>
      <c r="J83" s="24"/>
      <c r="K83" s="24">
        <f>G83*0.3</f>
        <v>2539.875</v>
      </c>
      <c r="L83" s="24">
        <f t="shared" ref="L83" si="28">20000-G83-K83</f>
        <v>8993.875</v>
      </c>
      <c r="M83" s="24"/>
      <c r="N83" s="24"/>
      <c r="O83" s="24"/>
      <c r="P83" s="24"/>
      <c r="Q83" s="24"/>
      <c r="R83" s="24">
        <f t="shared" ref="R83:R85" si="29">G83+K83+L83</f>
        <v>20000</v>
      </c>
      <c r="S83" s="26">
        <f>R83*12</f>
        <v>240000</v>
      </c>
      <c r="T83" s="69"/>
    </row>
    <row r="84" spans="1:20" s="13" customFormat="1" x14ac:dyDescent="0.25">
      <c r="A84" s="21" t="s">
        <v>143</v>
      </c>
      <c r="B84" s="22" t="s">
        <v>144</v>
      </c>
      <c r="C84" s="23">
        <v>1.5</v>
      </c>
      <c r="D84" s="23">
        <v>14</v>
      </c>
      <c r="E84" s="24">
        <v>11598</v>
      </c>
      <c r="F84" s="23"/>
      <c r="G84" s="24">
        <f t="shared" si="27"/>
        <v>11598</v>
      </c>
      <c r="H84" s="24"/>
      <c r="I84" s="24"/>
      <c r="J84" s="24"/>
      <c r="K84" s="24">
        <f t="shared" ref="K84:K108" si="30">G84*0.3</f>
        <v>3479.4</v>
      </c>
      <c r="L84" s="24">
        <f>30000-G84-K84</f>
        <v>14922.6</v>
      </c>
      <c r="M84" s="24"/>
      <c r="N84" s="24"/>
      <c r="O84" s="24"/>
      <c r="P84" s="24"/>
      <c r="Q84" s="24"/>
      <c r="R84" s="24">
        <f t="shared" si="29"/>
        <v>30000</v>
      </c>
      <c r="S84" s="26">
        <f t="shared" ref="S84:S110" si="31">R84*12</f>
        <v>360000</v>
      </c>
      <c r="T84" s="69"/>
    </row>
    <row r="85" spans="1:20" s="13" customFormat="1" x14ac:dyDescent="0.25">
      <c r="A85" s="21" t="s">
        <v>145</v>
      </c>
      <c r="B85" s="22" t="s">
        <v>146</v>
      </c>
      <c r="C85" s="23">
        <v>1</v>
      </c>
      <c r="D85" s="23">
        <v>12</v>
      </c>
      <c r="E85" s="24">
        <v>6773</v>
      </c>
      <c r="F85" s="24">
        <f>E85*0.15</f>
        <v>1015.9499999999999</v>
      </c>
      <c r="G85" s="24">
        <f t="shared" si="27"/>
        <v>7788.95</v>
      </c>
      <c r="H85" s="24"/>
      <c r="I85" s="24"/>
      <c r="J85" s="24"/>
      <c r="K85" s="24">
        <f t="shared" si="30"/>
        <v>2336.6849999999999</v>
      </c>
      <c r="L85" s="24">
        <f t="shared" ref="L85" si="32">20000-G85-K85</f>
        <v>9874.3649999999998</v>
      </c>
      <c r="M85" s="24"/>
      <c r="N85" s="24"/>
      <c r="O85" s="24"/>
      <c r="P85" s="24"/>
      <c r="Q85" s="24"/>
      <c r="R85" s="24">
        <f t="shared" si="29"/>
        <v>20000</v>
      </c>
      <c r="S85" s="26">
        <f t="shared" si="31"/>
        <v>240000</v>
      </c>
      <c r="T85" s="69"/>
    </row>
    <row r="86" spans="1:20" s="13" customFormat="1" x14ac:dyDescent="0.25">
      <c r="A86" s="21" t="s">
        <v>147</v>
      </c>
      <c r="B86" s="22" t="s">
        <v>148</v>
      </c>
      <c r="C86" s="23">
        <v>1</v>
      </c>
      <c r="D86" s="23">
        <v>11</v>
      </c>
      <c r="E86" s="24">
        <v>6294</v>
      </c>
      <c r="F86" s="23"/>
      <c r="G86" s="24">
        <f t="shared" si="27"/>
        <v>6294</v>
      </c>
      <c r="H86" s="24"/>
      <c r="I86" s="24"/>
      <c r="J86" s="24"/>
      <c r="K86" s="24">
        <f t="shared" si="30"/>
        <v>1888.1999999999998</v>
      </c>
      <c r="L86" s="24">
        <f>20000-G86-K86</f>
        <v>11817.8</v>
      </c>
      <c r="M86" s="24"/>
      <c r="N86" s="24"/>
      <c r="O86" s="24"/>
      <c r="P86" s="24"/>
      <c r="Q86" s="24"/>
      <c r="R86" s="24">
        <f>G86+K86+L86</f>
        <v>20000</v>
      </c>
      <c r="S86" s="26">
        <f t="shared" si="31"/>
        <v>240000</v>
      </c>
      <c r="T86" s="69"/>
    </row>
    <row r="87" spans="1:20" s="13" customFormat="1" x14ac:dyDescent="0.25">
      <c r="A87" s="21" t="s">
        <v>149</v>
      </c>
      <c r="B87" s="22" t="s">
        <v>150</v>
      </c>
      <c r="C87" s="23">
        <v>1.5</v>
      </c>
      <c r="D87" s="23">
        <v>11</v>
      </c>
      <c r="E87" s="24">
        <f>6294*C87</f>
        <v>9441</v>
      </c>
      <c r="F87" s="23"/>
      <c r="G87" s="24">
        <f t="shared" si="27"/>
        <v>9441</v>
      </c>
      <c r="H87" s="24"/>
      <c r="I87" s="24"/>
      <c r="J87" s="24"/>
      <c r="K87" s="24">
        <f t="shared" si="30"/>
        <v>2832.2999999999997</v>
      </c>
      <c r="L87" s="24">
        <f>20000*C87-G87-K87</f>
        <v>17726.7</v>
      </c>
      <c r="M87" s="24"/>
      <c r="N87" s="24"/>
      <c r="O87" s="24"/>
      <c r="P87" s="24"/>
      <c r="Q87" s="24"/>
      <c r="R87" s="24">
        <f t="shared" ref="R87:R102" si="33">G87+K87+L87</f>
        <v>30000</v>
      </c>
      <c r="S87" s="26">
        <f t="shared" si="31"/>
        <v>360000</v>
      </c>
      <c r="T87" s="69"/>
    </row>
    <row r="88" spans="1:20" s="13" customFormat="1" x14ac:dyDescent="0.25">
      <c r="A88" s="21" t="s">
        <v>151</v>
      </c>
      <c r="B88" s="22" t="s">
        <v>152</v>
      </c>
      <c r="C88" s="23">
        <v>0.5</v>
      </c>
      <c r="D88" s="23">
        <v>14</v>
      </c>
      <c r="E88" s="24">
        <f>7732*C88</f>
        <v>3866</v>
      </c>
      <c r="F88" s="23"/>
      <c r="G88" s="24">
        <f t="shared" si="27"/>
        <v>3866</v>
      </c>
      <c r="H88" s="24"/>
      <c r="I88" s="24"/>
      <c r="J88" s="24"/>
      <c r="K88" s="24">
        <f t="shared" si="30"/>
        <v>1159.8</v>
      </c>
      <c r="L88" s="24">
        <f>20000*C88-G88-K88</f>
        <v>4974.2</v>
      </c>
      <c r="M88" s="24"/>
      <c r="N88" s="24"/>
      <c r="O88" s="24"/>
      <c r="P88" s="24"/>
      <c r="Q88" s="24"/>
      <c r="R88" s="24">
        <f t="shared" si="33"/>
        <v>10000</v>
      </c>
      <c r="S88" s="26">
        <f t="shared" si="31"/>
        <v>120000</v>
      </c>
      <c r="T88" s="69"/>
    </row>
    <row r="89" spans="1:20" s="13" customFormat="1" x14ac:dyDescent="0.25">
      <c r="A89" s="21" t="s">
        <v>153</v>
      </c>
      <c r="B89" s="22" t="s">
        <v>106</v>
      </c>
      <c r="C89" s="23">
        <v>0.5</v>
      </c>
      <c r="D89" s="23">
        <v>11</v>
      </c>
      <c r="E89" s="24">
        <v>3147</v>
      </c>
      <c r="F89" s="24">
        <f>E89*0.15</f>
        <v>472.04999999999995</v>
      </c>
      <c r="G89" s="24">
        <f t="shared" si="27"/>
        <v>3619.05</v>
      </c>
      <c r="H89" s="24"/>
      <c r="I89" s="24"/>
      <c r="J89" s="24"/>
      <c r="K89" s="24">
        <f t="shared" si="30"/>
        <v>1085.7149999999999</v>
      </c>
      <c r="L89" s="24">
        <f>20000/2-G89-K89</f>
        <v>5295.2349999999997</v>
      </c>
      <c r="M89" s="24"/>
      <c r="N89" s="24"/>
      <c r="O89" s="24"/>
      <c r="P89" s="24"/>
      <c r="Q89" s="24"/>
      <c r="R89" s="24">
        <f t="shared" si="33"/>
        <v>10000</v>
      </c>
      <c r="S89" s="26">
        <f t="shared" si="31"/>
        <v>120000</v>
      </c>
      <c r="T89" s="69"/>
    </row>
    <row r="90" spans="1:20" s="13" customFormat="1" x14ac:dyDescent="0.25">
      <c r="A90" s="21" t="s">
        <v>154</v>
      </c>
      <c r="B90" s="22" t="s">
        <v>155</v>
      </c>
      <c r="C90" s="23">
        <v>2</v>
      </c>
      <c r="D90" s="23">
        <v>14</v>
      </c>
      <c r="E90" s="24">
        <f>7732*C90</f>
        <v>15464</v>
      </c>
      <c r="F90" s="24">
        <f>E90*0.15</f>
        <v>2319.6</v>
      </c>
      <c r="G90" s="24">
        <f t="shared" si="27"/>
        <v>17783.599999999999</v>
      </c>
      <c r="H90" s="24"/>
      <c r="I90" s="24"/>
      <c r="J90" s="24"/>
      <c r="K90" s="24">
        <f t="shared" si="30"/>
        <v>5335.079999999999</v>
      </c>
      <c r="L90" s="24">
        <f>20000*C90-G90-K90</f>
        <v>16881.320000000003</v>
      </c>
      <c r="M90" s="24"/>
      <c r="N90" s="24"/>
      <c r="O90" s="24"/>
      <c r="P90" s="24"/>
      <c r="Q90" s="24"/>
      <c r="R90" s="24">
        <f t="shared" si="33"/>
        <v>40000</v>
      </c>
      <c r="S90" s="26">
        <f t="shared" si="31"/>
        <v>480000</v>
      </c>
      <c r="T90" s="69"/>
    </row>
    <row r="91" spans="1:20" s="13" customFormat="1" x14ac:dyDescent="0.25">
      <c r="A91" s="21" t="s">
        <v>156</v>
      </c>
      <c r="B91" s="22" t="s">
        <v>157</v>
      </c>
      <c r="C91" s="23">
        <v>0.75</v>
      </c>
      <c r="D91" s="23">
        <v>13</v>
      </c>
      <c r="E91" s="24">
        <f>7253*C91</f>
        <v>5439.75</v>
      </c>
      <c r="F91" s="23"/>
      <c r="G91" s="24">
        <f t="shared" si="27"/>
        <v>5439.75</v>
      </c>
      <c r="H91" s="24"/>
      <c r="I91" s="24"/>
      <c r="J91" s="24"/>
      <c r="K91" s="24">
        <f t="shared" si="30"/>
        <v>1631.925</v>
      </c>
      <c r="L91" s="24">
        <f>20000*C91-G91-K91</f>
        <v>7928.3249999999998</v>
      </c>
      <c r="M91" s="24"/>
      <c r="N91" s="24"/>
      <c r="O91" s="24"/>
      <c r="P91" s="24"/>
      <c r="Q91" s="24"/>
      <c r="R91" s="24">
        <f t="shared" si="33"/>
        <v>15000</v>
      </c>
      <c r="S91" s="26">
        <f t="shared" si="31"/>
        <v>180000</v>
      </c>
      <c r="T91" s="69"/>
    </row>
    <row r="92" spans="1:20" x14ac:dyDescent="0.25">
      <c r="A92" s="21" t="s">
        <v>158</v>
      </c>
      <c r="B92" s="73" t="s">
        <v>159</v>
      </c>
      <c r="C92" s="74">
        <v>0.5</v>
      </c>
      <c r="D92" s="74">
        <v>11</v>
      </c>
      <c r="E92" s="75">
        <f>7732*C92</f>
        <v>3866</v>
      </c>
      <c r="F92" s="75"/>
      <c r="G92" s="75">
        <f t="shared" si="27"/>
        <v>3866</v>
      </c>
      <c r="H92" s="75"/>
      <c r="I92" s="75"/>
      <c r="J92" s="75"/>
      <c r="K92" s="75">
        <f t="shared" si="30"/>
        <v>1159.8</v>
      </c>
      <c r="L92" s="75">
        <f>20000*C92-G92-K92</f>
        <v>4974.2</v>
      </c>
      <c r="M92" s="75"/>
      <c r="N92" s="75"/>
      <c r="O92" s="75"/>
      <c r="P92" s="75"/>
      <c r="Q92" s="75"/>
      <c r="R92" s="75">
        <f>G92+K92+L92</f>
        <v>10000</v>
      </c>
      <c r="S92" s="26">
        <f t="shared" si="31"/>
        <v>120000</v>
      </c>
      <c r="T92" s="70"/>
    </row>
    <row r="93" spans="1:20" s="13" customFormat="1" x14ac:dyDescent="0.25">
      <c r="A93" s="21" t="s">
        <v>121</v>
      </c>
      <c r="B93" s="22" t="s">
        <v>160</v>
      </c>
      <c r="C93" s="23">
        <v>0.25</v>
      </c>
      <c r="D93" s="23">
        <v>14</v>
      </c>
      <c r="E93" s="24">
        <f>7732*C93</f>
        <v>1933</v>
      </c>
      <c r="F93" s="23"/>
      <c r="G93" s="24">
        <f>E93+F93</f>
        <v>1933</v>
      </c>
      <c r="H93" s="24"/>
      <c r="I93" s="24"/>
      <c r="J93" s="24"/>
      <c r="K93" s="24">
        <f t="shared" si="30"/>
        <v>579.9</v>
      </c>
      <c r="L93" s="24">
        <f>20000*C93-G93-K93</f>
        <v>2487.1</v>
      </c>
      <c r="M93" s="24"/>
      <c r="N93" s="24"/>
      <c r="O93" s="24"/>
      <c r="P93" s="24"/>
      <c r="Q93" s="24"/>
      <c r="R93" s="24">
        <f>G93+K93+L93</f>
        <v>5000</v>
      </c>
      <c r="S93" s="26">
        <f t="shared" si="31"/>
        <v>60000</v>
      </c>
      <c r="T93" s="69"/>
    </row>
    <row r="94" spans="1:20" s="13" customFormat="1" x14ac:dyDescent="0.25">
      <c r="A94" s="21" t="s">
        <v>161</v>
      </c>
      <c r="B94" s="22" t="s">
        <v>162</v>
      </c>
      <c r="C94" s="23">
        <v>0.5</v>
      </c>
      <c r="D94" s="23">
        <v>14</v>
      </c>
      <c r="E94" s="24">
        <v>3866</v>
      </c>
      <c r="F94" s="23"/>
      <c r="G94" s="24">
        <f t="shared" si="27"/>
        <v>3866</v>
      </c>
      <c r="H94" s="24"/>
      <c r="I94" s="24"/>
      <c r="J94" s="24"/>
      <c r="K94" s="24">
        <f t="shared" si="30"/>
        <v>1159.8</v>
      </c>
      <c r="L94" s="24">
        <f>20000/2-G94-K94</f>
        <v>4974.2</v>
      </c>
      <c r="M94" s="24"/>
      <c r="N94" s="24"/>
      <c r="O94" s="24"/>
      <c r="P94" s="24"/>
      <c r="Q94" s="24"/>
      <c r="R94" s="24">
        <f t="shared" si="33"/>
        <v>10000</v>
      </c>
      <c r="S94" s="26">
        <f t="shared" si="31"/>
        <v>120000</v>
      </c>
      <c r="T94" s="69"/>
    </row>
    <row r="95" spans="1:20" s="13" customFormat="1" x14ac:dyDescent="0.25">
      <c r="A95" s="21" t="s">
        <v>163</v>
      </c>
      <c r="B95" s="73" t="s">
        <v>164</v>
      </c>
      <c r="C95" s="74">
        <v>0.5</v>
      </c>
      <c r="D95" s="74">
        <v>11</v>
      </c>
      <c r="E95" s="75">
        <v>3147</v>
      </c>
      <c r="F95" s="74"/>
      <c r="G95" s="75">
        <f t="shared" si="27"/>
        <v>3147</v>
      </c>
      <c r="H95" s="75"/>
      <c r="I95" s="75"/>
      <c r="J95" s="75"/>
      <c r="K95" s="75">
        <f t="shared" si="30"/>
        <v>944.09999999999991</v>
      </c>
      <c r="L95" s="75">
        <f>20000/2-G95-K95</f>
        <v>5908.9</v>
      </c>
      <c r="M95" s="75"/>
      <c r="N95" s="75"/>
      <c r="O95" s="75"/>
      <c r="P95" s="75"/>
      <c r="Q95" s="75"/>
      <c r="R95" s="75">
        <f t="shared" si="33"/>
        <v>10000</v>
      </c>
      <c r="S95" s="26">
        <f t="shared" si="31"/>
        <v>120000</v>
      </c>
      <c r="T95" s="69"/>
    </row>
    <row r="96" spans="1:20" s="76" customFormat="1" x14ac:dyDescent="0.25">
      <c r="A96" s="21" t="s">
        <v>165</v>
      </c>
      <c r="B96" s="22" t="s">
        <v>166</v>
      </c>
      <c r="C96" s="23">
        <v>0.5</v>
      </c>
      <c r="D96" s="23">
        <v>14</v>
      </c>
      <c r="E96" s="24">
        <v>3866</v>
      </c>
      <c r="F96" s="23"/>
      <c r="G96" s="24">
        <f t="shared" si="27"/>
        <v>3866</v>
      </c>
      <c r="H96" s="24"/>
      <c r="I96" s="24"/>
      <c r="J96" s="24"/>
      <c r="K96" s="24">
        <f t="shared" si="30"/>
        <v>1159.8</v>
      </c>
      <c r="L96" s="24">
        <f>20000/2-G96-K96</f>
        <v>4974.2</v>
      </c>
      <c r="M96" s="24"/>
      <c r="N96" s="24"/>
      <c r="O96" s="24"/>
      <c r="P96" s="24"/>
      <c r="Q96" s="24"/>
      <c r="R96" s="24">
        <f t="shared" si="33"/>
        <v>10000</v>
      </c>
      <c r="S96" s="26">
        <f t="shared" si="31"/>
        <v>120000</v>
      </c>
    </row>
    <row r="97" spans="1:20" s="76" customFormat="1" x14ac:dyDescent="0.25">
      <c r="A97" s="21" t="s">
        <v>165</v>
      </c>
      <c r="B97" s="22" t="s">
        <v>167</v>
      </c>
      <c r="C97" s="23">
        <v>0.5</v>
      </c>
      <c r="D97" s="23">
        <v>14</v>
      </c>
      <c r="E97" s="24">
        <v>3866</v>
      </c>
      <c r="F97" s="23"/>
      <c r="G97" s="24">
        <f t="shared" si="27"/>
        <v>3866</v>
      </c>
      <c r="H97" s="24"/>
      <c r="I97" s="24"/>
      <c r="J97" s="24"/>
      <c r="K97" s="24">
        <f t="shared" si="30"/>
        <v>1159.8</v>
      </c>
      <c r="L97" s="24">
        <f>20000/2-G97-K97</f>
        <v>4974.2</v>
      </c>
      <c r="M97" s="24"/>
      <c r="N97" s="24"/>
      <c r="O97" s="24"/>
      <c r="P97" s="24"/>
      <c r="Q97" s="24"/>
      <c r="R97" s="24">
        <f t="shared" si="33"/>
        <v>10000</v>
      </c>
      <c r="S97" s="26">
        <f t="shared" si="31"/>
        <v>120000</v>
      </c>
    </row>
    <row r="98" spans="1:20" s="13" customFormat="1" x14ac:dyDescent="0.25">
      <c r="A98" s="21" t="s">
        <v>168</v>
      </c>
      <c r="B98" s="22" t="s">
        <v>169</v>
      </c>
      <c r="C98" s="23">
        <v>1</v>
      </c>
      <c r="D98" s="23">
        <v>14</v>
      </c>
      <c r="E98" s="24">
        <v>7732</v>
      </c>
      <c r="F98" s="23"/>
      <c r="G98" s="24">
        <f t="shared" si="27"/>
        <v>7732</v>
      </c>
      <c r="H98" s="24"/>
      <c r="I98" s="24"/>
      <c r="J98" s="24"/>
      <c r="K98" s="24">
        <f t="shared" si="30"/>
        <v>2319.6</v>
      </c>
      <c r="L98" s="24">
        <f t="shared" ref="L98" si="34">20000-G98-K98</f>
        <v>9948.4</v>
      </c>
      <c r="M98" s="24"/>
      <c r="N98" s="24"/>
      <c r="O98" s="24"/>
      <c r="P98" s="24"/>
      <c r="Q98" s="24"/>
      <c r="R98" s="24">
        <f t="shared" si="33"/>
        <v>20000</v>
      </c>
      <c r="S98" s="26">
        <f t="shared" si="31"/>
        <v>240000</v>
      </c>
      <c r="T98" s="69"/>
    </row>
    <row r="99" spans="1:20" x14ac:dyDescent="0.25">
      <c r="A99" s="21" t="s">
        <v>170</v>
      </c>
      <c r="B99" s="22" t="s">
        <v>114</v>
      </c>
      <c r="C99" s="23">
        <v>0.5</v>
      </c>
      <c r="D99" s="23">
        <v>10</v>
      </c>
      <c r="E99" s="24">
        <v>2907.5</v>
      </c>
      <c r="F99" s="23"/>
      <c r="G99" s="24">
        <f t="shared" si="27"/>
        <v>2907.5</v>
      </c>
      <c r="H99" s="24"/>
      <c r="I99" s="24"/>
      <c r="J99" s="24"/>
      <c r="K99" s="24">
        <f t="shared" si="30"/>
        <v>872.25</v>
      </c>
      <c r="L99" s="24">
        <f>20000/2-G99-K99</f>
        <v>6220.25</v>
      </c>
      <c r="M99" s="24"/>
      <c r="N99" s="24"/>
      <c r="O99" s="24"/>
      <c r="P99" s="24"/>
      <c r="Q99" s="24"/>
      <c r="R99" s="24">
        <f t="shared" si="33"/>
        <v>10000</v>
      </c>
      <c r="S99" s="26">
        <f t="shared" si="31"/>
        <v>120000</v>
      </c>
      <c r="T99" s="70"/>
    </row>
    <row r="100" spans="1:20" s="13" customFormat="1" x14ac:dyDescent="0.25">
      <c r="A100" s="21" t="s">
        <v>171</v>
      </c>
      <c r="B100" s="22" t="s">
        <v>172</v>
      </c>
      <c r="C100" s="23">
        <v>1.5</v>
      </c>
      <c r="D100" s="23">
        <v>14</v>
      </c>
      <c r="E100" s="24">
        <f>7732*C100</f>
        <v>11598</v>
      </c>
      <c r="F100" s="23"/>
      <c r="G100" s="24">
        <f t="shared" si="27"/>
        <v>11598</v>
      </c>
      <c r="H100" s="24"/>
      <c r="I100" s="24"/>
      <c r="J100" s="24"/>
      <c r="K100" s="24">
        <f t="shared" si="30"/>
        <v>3479.4</v>
      </c>
      <c r="L100" s="24">
        <f>20000*C100-G100-K100</f>
        <v>14922.6</v>
      </c>
      <c r="M100" s="24"/>
      <c r="N100" s="24"/>
      <c r="O100" s="24"/>
      <c r="P100" s="24"/>
      <c r="Q100" s="24"/>
      <c r="R100" s="24">
        <f t="shared" si="33"/>
        <v>30000</v>
      </c>
      <c r="S100" s="26">
        <f t="shared" si="31"/>
        <v>360000</v>
      </c>
      <c r="T100" s="69"/>
    </row>
    <row r="101" spans="1:20" x14ac:dyDescent="0.25">
      <c r="A101" s="21" t="s">
        <v>173</v>
      </c>
      <c r="B101" s="22" t="s">
        <v>174</v>
      </c>
      <c r="C101" s="23">
        <v>0.5</v>
      </c>
      <c r="D101" s="23">
        <v>13</v>
      </c>
      <c r="E101" s="24">
        <f>7523*C101</f>
        <v>3761.5</v>
      </c>
      <c r="F101" s="23"/>
      <c r="G101" s="24">
        <f t="shared" si="27"/>
        <v>3761.5</v>
      </c>
      <c r="H101" s="24"/>
      <c r="I101" s="24"/>
      <c r="J101" s="24"/>
      <c r="K101" s="24">
        <f t="shared" si="30"/>
        <v>1128.45</v>
      </c>
      <c r="L101" s="24">
        <f>20000/2-G101-K101</f>
        <v>5110.05</v>
      </c>
      <c r="M101" s="24"/>
      <c r="N101" s="24"/>
      <c r="O101" s="24"/>
      <c r="P101" s="24"/>
      <c r="Q101" s="24"/>
      <c r="R101" s="24">
        <f t="shared" si="33"/>
        <v>10000</v>
      </c>
      <c r="S101" s="26">
        <f t="shared" si="31"/>
        <v>120000</v>
      </c>
      <c r="T101" s="70"/>
    </row>
    <row r="102" spans="1:20" x14ac:dyDescent="0.25">
      <c r="A102" s="21" t="s">
        <v>175</v>
      </c>
      <c r="B102" s="73" t="s">
        <v>176</v>
      </c>
      <c r="C102" s="74">
        <v>0.25</v>
      </c>
      <c r="D102" s="74">
        <v>14</v>
      </c>
      <c r="E102" s="75">
        <f>7732*C102</f>
        <v>1933</v>
      </c>
      <c r="F102" s="74"/>
      <c r="G102" s="75">
        <f t="shared" si="27"/>
        <v>1933</v>
      </c>
      <c r="H102" s="75"/>
      <c r="I102" s="75"/>
      <c r="J102" s="75"/>
      <c r="K102" s="75">
        <f t="shared" si="30"/>
        <v>579.9</v>
      </c>
      <c r="L102" s="75">
        <f>20000/4-G102-K102</f>
        <v>2487.1</v>
      </c>
      <c r="M102" s="75"/>
      <c r="N102" s="75"/>
      <c r="O102" s="75"/>
      <c r="P102" s="75"/>
      <c r="Q102" s="75"/>
      <c r="R102" s="75">
        <f t="shared" si="33"/>
        <v>5000</v>
      </c>
      <c r="S102" s="26">
        <f t="shared" si="31"/>
        <v>60000</v>
      </c>
      <c r="T102" s="70"/>
    </row>
    <row r="103" spans="1:20" x14ac:dyDescent="0.25">
      <c r="A103" s="21" t="s">
        <v>177</v>
      </c>
      <c r="B103" s="22" t="s">
        <v>130</v>
      </c>
      <c r="C103" s="23">
        <v>0.5</v>
      </c>
      <c r="D103" s="23">
        <v>9</v>
      </c>
      <c r="E103" s="24">
        <f>5527*C103</f>
        <v>2763.5</v>
      </c>
      <c r="F103" s="23"/>
      <c r="G103" s="24">
        <f t="shared" si="27"/>
        <v>2763.5</v>
      </c>
      <c r="H103" s="24"/>
      <c r="I103" s="24"/>
      <c r="J103" s="24"/>
      <c r="K103" s="24">
        <f t="shared" si="30"/>
        <v>829.05</v>
      </c>
      <c r="L103" s="24">
        <f>13500*C103-G103-K103</f>
        <v>3157.45</v>
      </c>
      <c r="M103" s="24"/>
      <c r="N103" s="24"/>
      <c r="O103" s="24"/>
      <c r="P103" s="24"/>
      <c r="Q103" s="24"/>
      <c r="R103" s="24">
        <f>G103+K103+L103</f>
        <v>6750</v>
      </c>
      <c r="S103" s="26">
        <f t="shared" si="31"/>
        <v>81000</v>
      </c>
      <c r="T103" s="70"/>
    </row>
    <row r="104" spans="1:20" x14ac:dyDescent="0.25">
      <c r="A104" s="21" t="s">
        <v>178</v>
      </c>
      <c r="B104" s="22" t="s">
        <v>179</v>
      </c>
      <c r="C104" s="23">
        <v>1</v>
      </c>
      <c r="D104" s="23">
        <v>9</v>
      </c>
      <c r="E104" s="24">
        <v>5527</v>
      </c>
      <c r="F104" s="23">
        <f>E104*0.15</f>
        <v>829.05</v>
      </c>
      <c r="G104" s="24">
        <f t="shared" si="27"/>
        <v>6356.05</v>
      </c>
      <c r="H104" s="24"/>
      <c r="I104" s="24"/>
      <c r="J104" s="24"/>
      <c r="K104" s="24">
        <f t="shared" si="30"/>
        <v>1906.8150000000001</v>
      </c>
      <c r="L104" s="24">
        <f>13500-G104-K104</f>
        <v>5237.1350000000002</v>
      </c>
      <c r="M104" s="24"/>
      <c r="N104" s="24"/>
      <c r="O104" s="24"/>
      <c r="P104" s="24"/>
      <c r="Q104" s="24"/>
      <c r="R104" s="24">
        <f>G104+K104+L104</f>
        <v>13500</v>
      </c>
      <c r="S104" s="26">
        <f t="shared" si="31"/>
        <v>162000</v>
      </c>
      <c r="T104" s="70"/>
    </row>
    <row r="105" spans="1:20" x14ac:dyDescent="0.25">
      <c r="A105" s="21" t="s">
        <v>180</v>
      </c>
      <c r="B105" s="22" t="s">
        <v>181</v>
      </c>
      <c r="C105" s="23">
        <v>1.5</v>
      </c>
      <c r="D105" s="23">
        <v>7</v>
      </c>
      <c r="E105" s="24">
        <v>7380</v>
      </c>
      <c r="F105" s="23"/>
      <c r="G105" s="24">
        <f t="shared" si="27"/>
        <v>7380</v>
      </c>
      <c r="H105" s="24"/>
      <c r="I105" s="24">
        <f>G105*0.1</f>
        <v>738</v>
      </c>
      <c r="J105" s="24"/>
      <c r="K105" s="24">
        <f t="shared" si="30"/>
        <v>2214</v>
      </c>
      <c r="L105" s="24">
        <f>13500*1.5-G105-I105-K105</f>
        <v>9918</v>
      </c>
      <c r="M105" s="24"/>
      <c r="N105" s="24"/>
      <c r="O105" s="24"/>
      <c r="P105" s="24"/>
      <c r="Q105" s="24"/>
      <c r="R105" s="24">
        <f>G105+I105+K105+L105</f>
        <v>20250</v>
      </c>
      <c r="S105" s="26">
        <f t="shared" si="31"/>
        <v>243000</v>
      </c>
      <c r="T105" s="70"/>
    </row>
    <row r="106" spans="1:20" x14ac:dyDescent="0.25">
      <c r="A106" s="21" t="s">
        <v>182</v>
      </c>
      <c r="B106" s="22" t="s">
        <v>93</v>
      </c>
      <c r="C106" s="23">
        <v>6</v>
      </c>
      <c r="D106" s="23">
        <v>9</v>
      </c>
      <c r="E106" s="24">
        <f>5527*C106</f>
        <v>33162</v>
      </c>
      <c r="F106" s="23"/>
      <c r="G106" s="24">
        <f t="shared" si="27"/>
        <v>33162</v>
      </c>
      <c r="H106" s="24"/>
      <c r="I106" s="24"/>
      <c r="J106" s="24"/>
      <c r="K106" s="24">
        <f t="shared" si="30"/>
        <v>9948.6</v>
      </c>
      <c r="L106" s="24">
        <f>13500*C106-G106-K106</f>
        <v>37889.4</v>
      </c>
      <c r="M106" s="24"/>
      <c r="N106" s="24"/>
      <c r="O106" s="24"/>
      <c r="P106" s="24"/>
      <c r="Q106" s="24"/>
      <c r="R106" s="24">
        <f t="shared" ref="R106" si="35">G106+K106+L106</f>
        <v>81000</v>
      </c>
      <c r="S106" s="26">
        <f t="shared" si="31"/>
        <v>972000</v>
      </c>
      <c r="T106" s="70"/>
    </row>
    <row r="107" spans="1:20" x14ac:dyDescent="0.25">
      <c r="A107" s="21" t="s">
        <v>183</v>
      </c>
      <c r="B107" s="22" t="s">
        <v>184</v>
      </c>
      <c r="C107" s="23">
        <v>1</v>
      </c>
      <c r="D107" s="23">
        <v>9</v>
      </c>
      <c r="E107" s="24">
        <f>5527*C107</f>
        <v>5527</v>
      </c>
      <c r="F107" s="23"/>
      <c r="G107" s="24">
        <f t="shared" si="27"/>
        <v>5527</v>
      </c>
      <c r="H107" s="24"/>
      <c r="I107" s="24">
        <f>G107*0.1</f>
        <v>552.70000000000005</v>
      </c>
      <c r="J107" s="24"/>
      <c r="K107" s="24">
        <f t="shared" si="30"/>
        <v>1658.1</v>
      </c>
      <c r="L107" s="24">
        <f>13500-G107-K107-I107</f>
        <v>5762.2</v>
      </c>
      <c r="M107" s="24"/>
      <c r="N107" s="24"/>
      <c r="O107" s="24"/>
      <c r="P107" s="24"/>
      <c r="Q107" s="24"/>
      <c r="R107" s="24">
        <f>G107+K107+L107+I107</f>
        <v>13500</v>
      </c>
      <c r="S107" s="26">
        <f t="shared" si="31"/>
        <v>162000</v>
      </c>
      <c r="T107" s="70"/>
    </row>
    <row r="108" spans="1:20" x14ac:dyDescent="0.25">
      <c r="A108" s="21" t="s">
        <v>185</v>
      </c>
      <c r="B108" s="22" t="s">
        <v>186</v>
      </c>
      <c r="C108" s="23">
        <v>2</v>
      </c>
      <c r="D108" s="23">
        <v>9</v>
      </c>
      <c r="E108" s="24">
        <f>5527*C108</f>
        <v>11054</v>
      </c>
      <c r="F108" s="23">
        <f>E108*0.15</f>
        <v>1658.1</v>
      </c>
      <c r="G108" s="24">
        <f t="shared" si="27"/>
        <v>12712.1</v>
      </c>
      <c r="H108" s="24"/>
      <c r="I108" s="24"/>
      <c r="J108" s="24"/>
      <c r="K108" s="24">
        <f t="shared" si="30"/>
        <v>3813.63</v>
      </c>
      <c r="L108" s="24">
        <f>13500*C108-G108-K108</f>
        <v>10474.27</v>
      </c>
      <c r="M108" s="24"/>
      <c r="N108" s="24"/>
      <c r="O108" s="24"/>
      <c r="P108" s="24"/>
      <c r="Q108" s="24"/>
      <c r="R108" s="24">
        <f t="shared" ref="R108" si="36">G108+K108+L108</f>
        <v>27000</v>
      </c>
      <c r="S108" s="26">
        <f t="shared" si="31"/>
        <v>324000</v>
      </c>
      <c r="T108" s="70"/>
    </row>
    <row r="109" spans="1:20" s="44" customFormat="1" x14ac:dyDescent="0.25">
      <c r="A109" s="21" t="s">
        <v>187</v>
      </c>
      <c r="B109" s="22" t="s">
        <v>188</v>
      </c>
      <c r="C109" s="23">
        <v>0.5</v>
      </c>
      <c r="D109" s="23">
        <v>4</v>
      </c>
      <c r="E109" s="24">
        <v>2029</v>
      </c>
      <c r="F109" s="23"/>
      <c r="G109" s="24">
        <f>E109+F109</f>
        <v>2029</v>
      </c>
      <c r="H109" s="24"/>
      <c r="I109" s="24"/>
      <c r="J109" s="24"/>
      <c r="K109" s="24"/>
      <c r="L109" s="24"/>
      <c r="M109" s="24"/>
      <c r="N109" s="24"/>
      <c r="O109" s="24"/>
      <c r="P109" s="24">
        <f>8647/2-G109</f>
        <v>2294.5</v>
      </c>
      <c r="Q109" s="24"/>
      <c r="R109" s="24">
        <f>G109+I109+P109</f>
        <v>4323.5</v>
      </c>
      <c r="S109" s="26">
        <f t="shared" si="31"/>
        <v>51882</v>
      </c>
      <c r="T109" s="64"/>
    </row>
    <row r="110" spans="1:20" x14ac:dyDescent="0.25">
      <c r="A110" s="21" t="s">
        <v>189</v>
      </c>
      <c r="B110" s="22" t="s">
        <v>136</v>
      </c>
      <c r="C110" s="23">
        <v>5</v>
      </c>
      <c r="D110" s="23">
        <v>3</v>
      </c>
      <c r="E110" s="24">
        <f>3770*C110</f>
        <v>18850</v>
      </c>
      <c r="F110" s="23"/>
      <c r="G110" s="24">
        <f t="shared" si="27"/>
        <v>18850</v>
      </c>
      <c r="H110" s="24"/>
      <c r="I110" s="24">
        <f>G110*0.1</f>
        <v>1885</v>
      </c>
      <c r="J110" s="24"/>
      <c r="K110" s="24"/>
      <c r="L110" s="24"/>
      <c r="M110" s="24"/>
      <c r="N110" s="24"/>
      <c r="O110" s="24"/>
      <c r="P110" s="24">
        <f>8647*C110-G110</f>
        <v>24385</v>
      </c>
      <c r="Q110" s="24"/>
      <c r="R110" s="24">
        <f>G110+I110+P110</f>
        <v>45120</v>
      </c>
      <c r="S110" s="26">
        <f t="shared" si="31"/>
        <v>541440</v>
      </c>
      <c r="T110" s="70"/>
    </row>
    <row r="111" spans="1:20" s="33" customFormat="1" ht="23.4" customHeight="1" thickBot="1" x14ac:dyDescent="0.3">
      <c r="A111" s="77"/>
      <c r="B111" s="78" t="s">
        <v>58</v>
      </c>
      <c r="C111" s="79">
        <f>SUM(C83:C110)</f>
        <v>33.75</v>
      </c>
      <c r="D111" s="79"/>
      <c r="E111" s="80">
        <f>SUM(E83:E110)</f>
        <v>203564.25</v>
      </c>
      <c r="F111" s="80">
        <f>SUM(F83:F110)</f>
        <v>7988</v>
      </c>
      <c r="G111" s="80">
        <f>SUM(G83:G110)</f>
        <v>211552.25</v>
      </c>
      <c r="H111" s="80"/>
      <c r="I111" s="80">
        <f>SUM(I83:I110)</f>
        <v>3175.7</v>
      </c>
      <c r="J111" s="80"/>
      <c r="K111" s="80">
        <f>SUM(K83:K110)</f>
        <v>57201.974999999991</v>
      </c>
      <c r="L111" s="80">
        <f>SUM(L83:L110)</f>
        <v>237834.07500000001</v>
      </c>
      <c r="M111" s="80"/>
      <c r="N111" s="80"/>
      <c r="O111" s="80"/>
      <c r="P111" s="80">
        <f>SUM(P109:P110)</f>
        <v>26679.5</v>
      </c>
      <c r="Q111" s="80"/>
      <c r="R111" s="80">
        <f>SUM(R83:R110)</f>
        <v>536443.5</v>
      </c>
      <c r="S111" s="81">
        <f>SUM(S83:S110)</f>
        <v>6437322</v>
      </c>
      <c r="T111" s="71"/>
    </row>
    <row r="112" spans="1:20" ht="16.2" customHeight="1" x14ac:dyDescent="0.25">
      <c r="A112" s="82"/>
      <c r="B112" s="18" t="s">
        <v>190</v>
      </c>
      <c r="C112" s="37"/>
      <c r="D112" s="37"/>
      <c r="E112" s="38"/>
      <c r="F112" s="37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63"/>
      <c r="T112" s="70"/>
    </row>
    <row r="113" spans="1:20" x14ac:dyDescent="0.25">
      <c r="A113" s="21" t="s">
        <v>191</v>
      </c>
      <c r="B113" s="22" t="s">
        <v>192</v>
      </c>
      <c r="C113" s="23">
        <v>0.75</v>
      </c>
      <c r="D113" s="23">
        <v>10</v>
      </c>
      <c r="E113" s="24">
        <f>5815*C113</f>
        <v>4361.25</v>
      </c>
      <c r="F113" s="23">
        <f>E113*0.15</f>
        <v>654.1875</v>
      </c>
      <c r="G113" s="24">
        <f t="shared" ref="G113:G117" si="37">E113+F113</f>
        <v>5015.4375</v>
      </c>
      <c r="H113" s="24"/>
      <c r="I113" s="24">
        <f>G113*0.1</f>
        <v>501.54375000000005</v>
      </c>
      <c r="J113" s="24"/>
      <c r="K113" s="24">
        <f>G113*0.3</f>
        <v>1504.6312499999999</v>
      </c>
      <c r="L113" s="24">
        <f>20000*C113-G113-I113-K113</f>
        <v>7978.3874999999989</v>
      </c>
      <c r="M113" s="24"/>
      <c r="N113" s="24"/>
      <c r="O113" s="24"/>
      <c r="P113" s="24"/>
      <c r="Q113" s="24"/>
      <c r="R113" s="24">
        <f>G113+I113+K113+L113</f>
        <v>14999.999999999998</v>
      </c>
      <c r="S113" s="26">
        <f>R113*12</f>
        <v>179999.99999999997</v>
      </c>
      <c r="T113" s="70"/>
    </row>
    <row r="114" spans="1:20" x14ac:dyDescent="0.25">
      <c r="A114" s="21" t="s">
        <v>193</v>
      </c>
      <c r="B114" s="22" t="s">
        <v>194</v>
      </c>
      <c r="C114" s="23">
        <v>1</v>
      </c>
      <c r="D114" s="23">
        <v>9</v>
      </c>
      <c r="E114" s="24">
        <v>5527</v>
      </c>
      <c r="F114" s="23">
        <f>E114*0.15</f>
        <v>829.05</v>
      </c>
      <c r="G114" s="24">
        <f t="shared" si="37"/>
        <v>6356.05</v>
      </c>
      <c r="H114" s="24"/>
      <c r="I114" s="24"/>
      <c r="J114" s="24"/>
      <c r="K114" s="24">
        <f t="shared" ref="K114:K115" si="38">G114*0.3</f>
        <v>1906.8150000000001</v>
      </c>
      <c r="L114" s="24">
        <f>20000-G114-K114</f>
        <v>11737.135</v>
      </c>
      <c r="M114" s="24"/>
      <c r="N114" s="24"/>
      <c r="O114" s="24"/>
      <c r="P114" s="24"/>
      <c r="Q114" s="24"/>
      <c r="R114" s="24">
        <f>G114+I114+K114+L114</f>
        <v>20000</v>
      </c>
      <c r="S114" s="26">
        <f t="shared" ref="S114:S116" si="39">R114*12</f>
        <v>240000</v>
      </c>
      <c r="T114" s="70"/>
    </row>
    <row r="115" spans="1:20" x14ac:dyDescent="0.25">
      <c r="A115" s="21" t="s">
        <v>195</v>
      </c>
      <c r="B115" s="22" t="s">
        <v>196</v>
      </c>
      <c r="C115" s="23">
        <v>3</v>
      </c>
      <c r="D115" s="23">
        <v>10</v>
      </c>
      <c r="E115" s="24">
        <f>5815*C115</f>
        <v>17445</v>
      </c>
      <c r="F115" s="23">
        <f>E115*0.15</f>
        <v>2616.75</v>
      </c>
      <c r="G115" s="24">
        <f t="shared" si="37"/>
        <v>20061.75</v>
      </c>
      <c r="H115" s="24"/>
      <c r="I115" s="24">
        <f>G115*0.1</f>
        <v>2006.1750000000002</v>
      </c>
      <c r="J115" s="24"/>
      <c r="K115" s="24">
        <f t="shared" si="38"/>
        <v>6018.5249999999996</v>
      </c>
      <c r="L115" s="24">
        <f>13500*C115-G115-I115-K115</f>
        <v>12413.550000000001</v>
      </c>
      <c r="M115" s="24"/>
      <c r="N115" s="24"/>
      <c r="O115" s="24"/>
      <c r="P115" s="24"/>
      <c r="Q115" s="24"/>
      <c r="R115" s="24">
        <f>G115+I115+K115+L115</f>
        <v>40500</v>
      </c>
      <c r="S115" s="26">
        <f t="shared" si="39"/>
        <v>486000</v>
      </c>
      <c r="T115" s="70"/>
    </row>
    <row r="116" spans="1:20" s="44" customFormat="1" x14ac:dyDescent="0.25">
      <c r="A116" s="21" t="s">
        <v>197</v>
      </c>
      <c r="B116" s="22" t="s">
        <v>198</v>
      </c>
      <c r="C116" s="23">
        <v>1</v>
      </c>
      <c r="D116" s="23">
        <v>3</v>
      </c>
      <c r="E116" s="24">
        <f>3770*C116</f>
        <v>3770</v>
      </c>
      <c r="F116" s="23">
        <f>E116*0.15</f>
        <v>565.5</v>
      </c>
      <c r="G116" s="24">
        <f t="shared" si="37"/>
        <v>4335.5</v>
      </c>
      <c r="H116" s="24"/>
      <c r="I116" s="24">
        <f>G116*0.1</f>
        <v>433.55</v>
      </c>
      <c r="J116" s="24"/>
      <c r="K116" s="24" t="s">
        <v>199</v>
      </c>
      <c r="L116" s="24"/>
      <c r="M116" s="24"/>
      <c r="N116" s="24"/>
      <c r="O116" s="24"/>
      <c r="P116" s="24">
        <f>8647*C116-E116</f>
        <v>4877</v>
      </c>
      <c r="Q116" s="24"/>
      <c r="R116" s="24">
        <f>G116+I116+P116</f>
        <v>9646.0499999999993</v>
      </c>
      <c r="S116" s="26">
        <f t="shared" si="39"/>
        <v>115752.59999999999</v>
      </c>
      <c r="T116" s="64"/>
    </row>
    <row r="117" spans="1:20" s="33" customFormat="1" ht="25.2" customHeight="1" x14ac:dyDescent="0.25">
      <c r="A117" s="77"/>
      <c r="B117" s="78" t="s">
        <v>58</v>
      </c>
      <c r="C117" s="79">
        <f>C113+C114+C115+C116</f>
        <v>5.75</v>
      </c>
      <c r="D117" s="79"/>
      <c r="E117" s="80">
        <f>SUM(E113:E116)</f>
        <v>31103.25</v>
      </c>
      <c r="F117" s="79">
        <f>SUM(F113:F116)</f>
        <v>4665.4875000000002</v>
      </c>
      <c r="G117" s="80">
        <f t="shared" si="37"/>
        <v>35768.737500000003</v>
      </c>
      <c r="H117" s="80"/>
      <c r="I117" s="80">
        <f>SUM(I113:I116)</f>
        <v>2941.2687500000002</v>
      </c>
      <c r="J117" s="80"/>
      <c r="K117" s="80">
        <f>SUM(K113:K116)</f>
        <v>9429.9712499999987</v>
      </c>
      <c r="L117" s="80">
        <f>SUM(L113:L116)</f>
        <v>32129.072500000002</v>
      </c>
      <c r="M117" s="80"/>
      <c r="N117" s="80"/>
      <c r="O117" s="80"/>
      <c r="P117" s="80">
        <f>SUM(P113:P116)</f>
        <v>4877</v>
      </c>
      <c r="Q117" s="80"/>
      <c r="R117" s="80">
        <f>SUM(R113:R116)</f>
        <v>85146.05</v>
      </c>
      <c r="S117" s="83">
        <f t="shared" ref="S117" si="40">R117*4</f>
        <v>340584.2</v>
      </c>
      <c r="T117" s="71"/>
    </row>
    <row r="118" spans="1:20" s="33" customFormat="1" ht="21.6" customHeight="1" x14ac:dyDescent="0.25">
      <c r="A118" s="84"/>
      <c r="B118" s="85" t="s">
        <v>200</v>
      </c>
      <c r="C118" s="85"/>
      <c r="D118" s="85"/>
      <c r="E118" s="86"/>
      <c r="F118" s="85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26"/>
      <c r="T118" s="71"/>
    </row>
    <row r="119" spans="1:20" s="33" customFormat="1" ht="15" customHeight="1" x14ac:dyDescent="0.25">
      <c r="A119" s="87" t="s">
        <v>201</v>
      </c>
      <c r="B119" s="88" t="s">
        <v>202</v>
      </c>
      <c r="C119" s="89">
        <v>0.25</v>
      </c>
      <c r="D119" s="89">
        <v>10</v>
      </c>
      <c r="E119" s="90">
        <f>5815*C119</f>
        <v>1453.75</v>
      </c>
      <c r="F119" s="89">
        <f>E119*0.15</f>
        <v>218.0625</v>
      </c>
      <c r="G119" s="90">
        <f>E119+F119</f>
        <v>1671.8125</v>
      </c>
      <c r="H119" s="90"/>
      <c r="I119" s="90">
        <f>G119*0.1</f>
        <v>167.18125000000001</v>
      </c>
      <c r="J119" s="90"/>
      <c r="K119" s="90">
        <f>G119*0.3</f>
        <v>501.54374999999999</v>
      </c>
      <c r="L119" s="90">
        <f>20000*C119-G119-I119-K119</f>
        <v>2659.4625000000001</v>
      </c>
      <c r="M119" s="90"/>
      <c r="N119" s="90"/>
      <c r="O119" s="90"/>
      <c r="P119" s="90"/>
      <c r="Q119" s="90"/>
      <c r="R119" s="90">
        <f>L119+K119+I119+G119</f>
        <v>5000</v>
      </c>
      <c r="S119" s="26">
        <f>R119*12</f>
        <v>60000</v>
      </c>
      <c r="T119" s="71"/>
    </row>
    <row r="120" spans="1:20" s="33" customFormat="1" ht="13.2" customHeight="1" x14ac:dyDescent="0.25">
      <c r="A120" s="87" t="s">
        <v>203</v>
      </c>
      <c r="B120" s="88" t="s">
        <v>204</v>
      </c>
      <c r="C120" s="89">
        <v>0.25</v>
      </c>
      <c r="D120" s="89">
        <v>10</v>
      </c>
      <c r="E120" s="90">
        <f>5815*C120</f>
        <v>1453.75</v>
      </c>
      <c r="F120" s="89">
        <f>E120*0.15</f>
        <v>218.0625</v>
      </c>
      <c r="G120" s="90">
        <f>E120+F120</f>
        <v>1671.8125</v>
      </c>
      <c r="H120" s="90"/>
      <c r="I120" s="90">
        <f>G120*0.1</f>
        <v>167.18125000000001</v>
      </c>
      <c r="J120" s="90"/>
      <c r="K120" s="90">
        <f>G120*0.3</f>
        <v>501.54374999999999</v>
      </c>
      <c r="L120" s="90">
        <f>20000*C120-G120-I120-K120</f>
        <v>2659.4625000000001</v>
      </c>
      <c r="M120" s="90"/>
      <c r="N120" s="90"/>
      <c r="O120" s="90"/>
      <c r="P120" s="90"/>
      <c r="Q120" s="90"/>
      <c r="R120" s="90">
        <f t="shared" ref="R120" si="41">L120+K120+I120+G120</f>
        <v>5000</v>
      </c>
      <c r="S120" s="26">
        <f>R120*12</f>
        <v>60000</v>
      </c>
      <c r="T120" s="71"/>
    </row>
    <row r="121" spans="1:20" s="33" customFormat="1" ht="21.6" customHeight="1" x14ac:dyDescent="0.25">
      <c r="A121" s="87"/>
      <c r="B121" s="91" t="s">
        <v>58</v>
      </c>
      <c r="C121" s="85">
        <v>0.5</v>
      </c>
      <c r="D121" s="85"/>
      <c r="E121" s="86">
        <f>SUM(E119:E120)</f>
        <v>2907.5</v>
      </c>
      <c r="F121" s="85">
        <f>SUM(F119:F120)</f>
        <v>436.125</v>
      </c>
      <c r="G121" s="86">
        <f>SUM(G119:G120)</f>
        <v>3343.625</v>
      </c>
      <c r="H121" s="86"/>
      <c r="I121" s="86">
        <f>SUM(I119:I120)</f>
        <v>334.36250000000001</v>
      </c>
      <c r="J121" s="86"/>
      <c r="K121" s="86">
        <f>SUM(K119:K120)</f>
        <v>1003.0875</v>
      </c>
      <c r="L121" s="86">
        <f>SUM(L119:L120)</f>
        <v>5318.9250000000002</v>
      </c>
      <c r="M121" s="86"/>
      <c r="N121" s="86"/>
      <c r="O121" s="86"/>
      <c r="P121" s="86"/>
      <c r="Q121" s="86"/>
      <c r="R121" s="86">
        <f>SUM(R119:R120)</f>
        <v>10000</v>
      </c>
      <c r="S121" s="86">
        <f>SUM(S119:S120)</f>
        <v>120000</v>
      </c>
      <c r="T121" s="71"/>
    </row>
    <row r="122" spans="1:20" ht="23.4" customHeight="1" x14ac:dyDescent="0.25">
      <c r="A122" s="92"/>
      <c r="B122" s="68" t="s">
        <v>205</v>
      </c>
      <c r="C122" s="68"/>
      <c r="D122" s="68"/>
      <c r="E122" s="93"/>
      <c r="F122" s="68"/>
      <c r="G122" s="24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70"/>
    </row>
    <row r="123" spans="1:20" ht="14.4" customHeight="1" x14ac:dyDescent="0.25">
      <c r="A123" s="21" t="s">
        <v>201</v>
      </c>
      <c r="B123" s="22" t="s">
        <v>112</v>
      </c>
      <c r="C123" s="23">
        <v>0.25</v>
      </c>
      <c r="D123" s="23">
        <v>10</v>
      </c>
      <c r="E123" s="24">
        <f>5815*C123</f>
        <v>1453.75</v>
      </c>
      <c r="F123" s="23">
        <f t="shared" ref="F123:F126" si="42">E123*0.15</f>
        <v>218.0625</v>
      </c>
      <c r="G123" s="24">
        <f t="shared" si="18"/>
        <v>1671.8125</v>
      </c>
      <c r="H123" s="24"/>
      <c r="I123" s="24"/>
      <c r="J123" s="24"/>
      <c r="K123" s="24">
        <f>G123*0.3</f>
        <v>501.54374999999999</v>
      </c>
      <c r="L123" s="24">
        <f>20000*C123-G123-K123</f>
        <v>2826.6437500000002</v>
      </c>
      <c r="M123" s="24"/>
      <c r="N123" s="24"/>
      <c r="O123" s="24"/>
      <c r="P123" s="24"/>
      <c r="Q123" s="24"/>
      <c r="R123" s="24">
        <f t="shared" ref="R123:R124" si="43">G123+K123+L123</f>
        <v>5000</v>
      </c>
      <c r="S123" s="26">
        <f>R123*12</f>
        <v>60000</v>
      </c>
      <c r="T123" s="70"/>
    </row>
    <row r="124" spans="1:20" x14ac:dyDescent="0.25">
      <c r="A124" s="21" t="s">
        <v>203</v>
      </c>
      <c r="B124" s="22" t="s">
        <v>106</v>
      </c>
      <c r="C124" s="23">
        <v>0.25</v>
      </c>
      <c r="D124" s="23">
        <v>10</v>
      </c>
      <c r="E124" s="24">
        <f>5815*C124</f>
        <v>1453.75</v>
      </c>
      <c r="F124" s="23">
        <f t="shared" si="42"/>
        <v>218.0625</v>
      </c>
      <c r="G124" s="24">
        <f t="shared" si="18"/>
        <v>1671.8125</v>
      </c>
      <c r="H124" s="24"/>
      <c r="I124" s="24"/>
      <c r="J124" s="24"/>
      <c r="K124" s="24">
        <f t="shared" ref="K124:K125" si="44">G124*0.3</f>
        <v>501.54374999999999</v>
      </c>
      <c r="L124" s="24">
        <f>20000*C124-G124-K124</f>
        <v>2826.6437500000002</v>
      </c>
      <c r="M124" s="24"/>
      <c r="N124" s="24"/>
      <c r="O124" s="24"/>
      <c r="P124" s="24"/>
      <c r="Q124" s="24"/>
      <c r="R124" s="24">
        <f t="shared" si="43"/>
        <v>5000</v>
      </c>
      <c r="S124" s="26">
        <f t="shared" ref="S124:S126" si="45">R124*12</f>
        <v>60000</v>
      </c>
      <c r="T124" s="70"/>
    </row>
    <row r="125" spans="1:20" x14ac:dyDescent="0.25">
      <c r="A125" s="21" t="s">
        <v>206</v>
      </c>
      <c r="B125" s="22" t="s">
        <v>132</v>
      </c>
      <c r="C125" s="23">
        <v>3.5</v>
      </c>
      <c r="D125" s="23">
        <v>9</v>
      </c>
      <c r="E125" s="24">
        <f>5527*C125</f>
        <v>19344.5</v>
      </c>
      <c r="F125" s="23">
        <f t="shared" si="42"/>
        <v>2901.6749999999997</v>
      </c>
      <c r="G125" s="24">
        <f t="shared" si="18"/>
        <v>22246.174999999999</v>
      </c>
      <c r="H125" s="24"/>
      <c r="I125" s="24">
        <f t="shared" ref="I125:I126" si="46">G125*0.1</f>
        <v>2224.6174999999998</v>
      </c>
      <c r="J125" s="24"/>
      <c r="K125" s="24">
        <f t="shared" si="44"/>
        <v>6673.8525</v>
      </c>
      <c r="L125" s="24">
        <f>13500*C125-G125-K125-I125-N125</f>
        <v>13839.455</v>
      </c>
      <c r="M125" s="24"/>
      <c r="N125" s="24">
        <f>647.4*C125</f>
        <v>2265.9</v>
      </c>
      <c r="O125" s="24"/>
      <c r="P125" s="24"/>
      <c r="Q125" s="24"/>
      <c r="R125" s="24">
        <f>G125+K125+L125+I125+N125</f>
        <v>47250</v>
      </c>
      <c r="S125" s="26">
        <f t="shared" si="45"/>
        <v>567000</v>
      </c>
      <c r="T125" s="70"/>
    </row>
    <row r="126" spans="1:20" s="13" customFormat="1" x14ac:dyDescent="0.2">
      <c r="A126" s="41" t="s">
        <v>207</v>
      </c>
      <c r="B126" s="22" t="s">
        <v>136</v>
      </c>
      <c r="C126" s="23">
        <v>2.5</v>
      </c>
      <c r="D126" s="23">
        <v>4</v>
      </c>
      <c r="E126" s="24">
        <f>4058*C126</f>
        <v>10145</v>
      </c>
      <c r="F126" s="23">
        <f t="shared" si="42"/>
        <v>1521.75</v>
      </c>
      <c r="G126" s="24">
        <f t="shared" si="18"/>
        <v>11666.75</v>
      </c>
      <c r="H126" s="24"/>
      <c r="I126" s="24">
        <f t="shared" si="46"/>
        <v>1166.675</v>
      </c>
      <c r="J126" s="24"/>
      <c r="K126" s="24"/>
      <c r="L126" s="24"/>
      <c r="M126" s="24"/>
      <c r="N126" s="24">
        <f>475.33*C126</f>
        <v>1188.325</v>
      </c>
      <c r="O126" s="24"/>
      <c r="P126" s="24">
        <f>8647*C126-E126</f>
        <v>11472.5</v>
      </c>
      <c r="Q126" s="24"/>
      <c r="R126" s="24">
        <f>G126+I126+P126+N126</f>
        <v>25494.25</v>
      </c>
      <c r="S126" s="26">
        <f t="shared" si="45"/>
        <v>305931</v>
      </c>
      <c r="T126" s="69"/>
    </row>
    <row r="127" spans="1:20" s="33" customFormat="1" ht="21.6" customHeight="1" thickBot="1" x14ac:dyDescent="0.3">
      <c r="A127" s="28"/>
      <c r="B127" s="94" t="s">
        <v>58</v>
      </c>
      <c r="C127" s="30">
        <f>SUM(C123:C126)</f>
        <v>6.5</v>
      </c>
      <c r="D127" s="30"/>
      <c r="E127" s="31">
        <f>SUM(E123:E126)</f>
        <v>32397</v>
      </c>
      <c r="F127" s="30">
        <f>SUM(F123:F126)</f>
        <v>4859.5499999999993</v>
      </c>
      <c r="G127" s="31">
        <f>SUM(G123:G126)</f>
        <v>37256.550000000003</v>
      </c>
      <c r="H127" s="31"/>
      <c r="I127" s="31">
        <f>SUM(I123:I126)</f>
        <v>3391.2924999999996</v>
      </c>
      <c r="J127" s="31"/>
      <c r="K127" s="31">
        <f>SUM(K123:K126)</f>
        <v>7676.94</v>
      </c>
      <c r="L127" s="31">
        <f>SUM(L123:L126)</f>
        <v>19492.7425</v>
      </c>
      <c r="M127" s="31"/>
      <c r="N127" s="31">
        <f>SUM(N123:N126)</f>
        <v>3454.2250000000004</v>
      </c>
      <c r="O127" s="31"/>
      <c r="P127" s="31">
        <f>SUM(P123:P126)</f>
        <v>11472.5</v>
      </c>
      <c r="Q127" s="31"/>
      <c r="R127" s="31">
        <f>SUM(R123:R126)</f>
        <v>82744.25</v>
      </c>
      <c r="S127" s="36">
        <f>SUM(S123:S126)</f>
        <v>992931</v>
      </c>
      <c r="T127" s="71"/>
    </row>
    <row r="128" spans="1:20" s="76" customFormat="1" ht="27" customHeight="1" x14ac:dyDescent="0.25">
      <c r="A128" s="82"/>
      <c r="B128" s="18" t="s">
        <v>208</v>
      </c>
      <c r="C128" s="37"/>
      <c r="D128" s="37"/>
      <c r="E128" s="38"/>
      <c r="F128" s="37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63"/>
      <c r="T128" s="95"/>
    </row>
    <row r="129" spans="1:20" s="13" customFormat="1" x14ac:dyDescent="0.25">
      <c r="A129" s="21" t="s">
        <v>209</v>
      </c>
      <c r="B129" s="96" t="s">
        <v>102</v>
      </c>
      <c r="C129" s="23">
        <v>1</v>
      </c>
      <c r="D129" s="23">
        <v>13</v>
      </c>
      <c r="E129" s="24">
        <v>7253</v>
      </c>
      <c r="F129" s="23">
        <f>E129*0.2</f>
        <v>1450.6000000000001</v>
      </c>
      <c r="G129" s="24">
        <f t="shared" ref="G129:G130" si="47">E129+F129</f>
        <v>8703.6</v>
      </c>
      <c r="H129" s="24"/>
      <c r="I129" s="24"/>
      <c r="J129" s="24"/>
      <c r="K129" s="24">
        <f t="shared" ref="K129:K130" si="48">G129*0.3</f>
        <v>2611.08</v>
      </c>
      <c r="L129" s="24">
        <f t="shared" ref="L129" si="49">20000-G129-K129</f>
        <v>8685.32</v>
      </c>
      <c r="M129" s="24"/>
      <c r="N129" s="24"/>
      <c r="O129" s="24"/>
      <c r="P129" s="24"/>
      <c r="Q129" s="24"/>
      <c r="R129" s="24">
        <f>G129+K129+L129+O129</f>
        <v>20000</v>
      </c>
      <c r="S129" s="26">
        <f>R129*12</f>
        <v>240000</v>
      </c>
      <c r="T129" s="69"/>
    </row>
    <row r="130" spans="1:20" s="44" customFormat="1" x14ac:dyDescent="0.25">
      <c r="A130" s="97" t="s">
        <v>210</v>
      </c>
      <c r="B130" s="22" t="s">
        <v>130</v>
      </c>
      <c r="C130" s="23">
        <v>1</v>
      </c>
      <c r="D130" s="23">
        <v>10</v>
      </c>
      <c r="E130" s="24">
        <v>5815</v>
      </c>
      <c r="F130" s="23">
        <f>E130*0.1</f>
        <v>581.5</v>
      </c>
      <c r="G130" s="24">
        <f t="shared" si="47"/>
        <v>6396.5</v>
      </c>
      <c r="H130" s="24"/>
      <c r="I130" s="24"/>
      <c r="J130" s="24"/>
      <c r="K130" s="24">
        <f t="shared" si="48"/>
        <v>1918.9499999999998</v>
      </c>
      <c r="L130" s="24">
        <f>13500-G130-K130</f>
        <v>5184.55</v>
      </c>
      <c r="M130" s="24"/>
      <c r="N130" s="24"/>
      <c r="O130" s="24"/>
      <c r="P130" s="24"/>
      <c r="Q130" s="24"/>
      <c r="R130" s="24">
        <f>G130+K130+L130</f>
        <v>13500</v>
      </c>
      <c r="S130" s="26">
        <f t="shared" ref="S130:S139" si="50">R130*12</f>
        <v>162000</v>
      </c>
      <c r="T130" s="64"/>
    </row>
    <row r="131" spans="1:20" x14ac:dyDescent="0.25">
      <c r="A131" s="41"/>
      <c r="B131" s="98"/>
      <c r="C131" s="99"/>
      <c r="D131" s="99"/>
      <c r="E131" s="100"/>
      <c r="F131" s="99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26">
        <f t="shared" si="50"/>
        <v>0</v>
      </c>
      <c r="T131" s="70"/>
    </row>
    <row r="132" spans="1:20" ht="21" customHeight="1" x14ac:dyDescent="0.25">
      <c r="A132" s="21"/>
      <c r="B132" s="101" t="s">
        <v>211</v>
      </c>
      <c r="C132" s="68"/>
      <c r="D132" s="68"/>
      <c r="E132" s="93"/>
      <c r="F132" s="68"/>
      <c r="G132" s="24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26">
        <f t="shared" si="50"/>
        <v>0</v>
      </c>
      <c r="T132" s="70"/>
    </row>
    <row r="133" spans="1:20" ht="11.4" customHeight="1" x14ac:dyDescent="0.25">
      <c r="A133" s="21" t="s">
        <v>212</v>
      </c>
      <c r="B133" s="22" t="s">
        <v>213</v>
      </c>
      <c r="C133" s="23">
        <v>4.5</v>
      </c>
      <c r="D133" s="23">
        <v>14</v>
      </c>
      <c r="E133" s="24">
        <f>7732*C133</f>
        <v>34794</v>
      </c>
      <c r="F133" s="23"/>
      <c r="G133" s="24">
        <f t="shared" ref="G133:G139" si="51">E133+F133</f>
        <v>34794</v>
      </c>
      <c r="H133" s="24"/>
      <c r="I133" s="24"/>
      <c r="J133" s="24"/>
      <c r="K133" s="24">
        <f t="shared" ref="K133" si="52">G133*0.3</f>
        <v>10438.199999999999</v>
      </c>
      <c r="L133" s="24">
        <f>20000*C133-G133-K133</f>
        <v>44767.8</v>
      </c>
      <c r="M133" s="24"/>
      <c r="N133" s="24"/>
      <c r="O133" s="24"/>
      <c r="P133" s="24"/>
      <c r="Q133" s="24"/>
      <c r="R133" s="24">
        <f>G133+K133+L133+O133</f>
        <v>90000</v>
      </c>
      <c r="S133" s="26">
        <f t="shared" si="50"/>
        <v>1080000</v>
      </c>
    </row>
    <row r="134" spans="1:20" x14ac:dyDescent="0.25">
      <c r="A134" s="21" t="s">
        <v>214</v>
      </c>
      <c r="B134" s="22" t="s">
        <v>215</v>
      </c>
      <c r="C134" s="23">
        <v>1</v>
      </c>
      <c r="D134" s="23">
        <v>13</v>
      </c>
      <c r="E134" s="24">
        <v>7523</v>
      </c>
      <c r="F134" s="23"/>
      <c r="G134" s="24">
        <f t="shared" si="51"/>
        <v>7523</v>
      </c>
      <c r="H134" s="24"/>
      <c r="I134" s="24"/>
      <c r="J134" s="24"/>
      <c r="K134" s="24">
        <f>G134*0.3</f>
        <v>2256.9</v>
      </c>
      <c r="L134" s="24">
        <f>20000-G134-K134</f>
        <v>10220.1</v>
      </c>
      <c r="M134" s="24"/>
      <c r="N134" s="24"/>
      <c r="O134" s="24"/>
      <c r="P134" s="24"/>
      <c r="Q134" s="24"/>
      <c r="R134" s="24">
        <f>G134+K134+L134+O134</f>
        <v>20000</v>
      </c>
      <c r="S134" s="26">
        <f t="shared" si="50"/>
        <v>240000</v>
      </c>
    </row>
    <row r="135" spans="1:20" s="13" customFormat="1" x14ac:dyDescent="0.25">
      <c r="A135" s="21" t="s">
        <v>216</v>
      </c>
      <c r="B135" s="22" t="s">
        <v>114</v>
      </c>
      <c r="C135" s="23">
        <v>1</v>
      </c>
      <c r="D135" s="23">
        <v>12</v>
      </c>
      <c r="E135" s="24">
        <v>6773</v>
      </c>
      <c r="F135" s="23"/>
      <c r="G135" s="24">
        <f t="shared" si="51"/>
        <v>6773</v>
      </c>
      <c r="H135" s="24"/>
      <c r="I135" s="24"/>
      <c r="J135" s="24"/>
      <c r="K135" s="24">
        <f t="shared" ref="K135:K137" si="53">G135*0.3</f>
        <v>2031.8999999999999</v>
      </c>
      <c r="L135" s="24">
        <f t="shared" ref="L135" si="54">20000-G135-K135</f>
        <v>11195.1</v>
      </c>
      <c r="M135" s="24"/>
      <c r="N135" s="24"/>
      <c r="O135" s="24"/>
      <c r="P135" s="24"/>
      <c r="Q135" s="24"/>
      <c r="R135" s="24">
        <f>G135+K135+L135+O135</f>
        <v>20000</v>
      </c>
      <c r="S135" s="26">
        <f t="shared" si="50"/>
        <v>240000</v>
      </c>
    </row>
    <row r="136" spans="1:20" x14ac:dyDescent="0.25">
      <c r="A136" s="21" t="s">
        <v>217</v>
      </c>
      <c r="B136" s="22" t="s">
        <v>218</v>
      </c>
      <c r="C136" s="23">
        <v>5</v>
      </c>
      <c r="D136" s="23">
        <v>10</v>
      </c>
      <c r="E136" s="24">
        <f>5815*C136</f>
        <v>29075</v>
      </c>
      <c r="F136" s="23"/>
      <c r="G136" s="24">
        <f t="shared" si="51"/>
        <v>29075</v>
      </c>
      <c r="H136" s="24"/>
      <c r="I136" s="24">
        <f>G136*0.1</f>
        <v>2907.5</v>
      </c>
      <c r="J136" s="24"/>
      <c r="K136" s="24">
        <f t="shared" si="53"/>
        <v>8722.5</v>
      </c>
      <c r="L136" s="24">
        <f>13500*C136-G136-I136-K136</f>
        <v>26795</v>
      </c>
      <c r="M136" s="24"/>
      <c r="N136" s="24"/>
      <c r="O136" s="24"/>
      <c r="P136" s="24"/>
      <c r="Q136" s="24"/>
      <c r="R136" s="24">
        <f>G136+I136+K136+L136</f>
        <v>67500</v>
      </c>
      <c r="S136" s="26">
        <f t="shared" si="50"/>
        <v>810000</v>
      </c>
      <c r="T136" s="70"/>
    </row>
    <row r="137" spans="1:20" s="13" customFormat="1" x14ac:dyDescent="0.25">
      <c r="A137" s="21" t="s">
        <v>219</v>
      </c>
      <c r="B137" s="22" t="s">
        <v>93</v>
      </c>
      <c r="C137" s="23">
        <v>1</v>
      </c>
      <c r="D137" s="23">
        <v>10</v>
      </c>
      <c r="E137" s="24">
        <v>5815</v>
      </c>
      <c r="F137" s="23"/>
      <c r="G137" s="24">
        <f t="shared" si="51"/>
        <v>5815</v>
      </c>
      <c r="H137" s="24"/>
      <c r="I137" s="24"/>
      <c r="J137" s="24"/>
      <c r="K137" s="24">
        <f t="shared" si="53"/>
        <v>1744.5</v>
      </c>
      <c r="L137" s="24">
        <f t="shared" ref="L137:L138" si="55">13500-G137-K137</f>
        <v>5940.5</v>
      </c>
      <c r="M137" s="24"/>
      <c r="N137" s="24"/>
      <c r="O137" s="24"/>
      <c r="P137" s="24"/>
      <c r="Q137" s="24"/>
      <c r="R137" s="24">
        <f t="shared" ref="R137:R138" si="56">G137+K137+L137</f>
        <v>13500</v>
      </c>
      <c r="S137" s="26">
        <f t="shared" si="50"/>
        <v>162000</v>
      </c>
    </row>
    <row r="138" spans="1:20" x14ac:dyDescent="0.25">
      <c r="A138" s="21" t="s">
        <v>220</v>
      </c>
      <c r="B138" s="22" t="s">
        <v>221</v>
      </c>
      <c r="C138" s="23">
        <v>1</v>
      </c>
      <c r="D138" s="23">
        <v>10</v>
      </c>
      <c r="E138" s="24">
        <v>5815</v>
      </c>
      <c r="F138" s="23"/>
      <c r="G138" s="24">
        <f t="shared" si="51"/>
        <v>5815</v>
      </c>
      <c r="H138" s="24"/>
      <c r="I138" s="24"/>
      <c r="J138" s="24"/>
      <c r="K138" s="24">
        <f>G138*0.3</f>
        <v>1744.5</v>
      </c>
      <c r="L138" s="24">
        <f t="shared" si="55"/>
        <v>5940.5</v>
      </c>
      <c r="M138" s="24"/>
      <c r="N138" s="24"/>
      <c r="O138" s="24"/>
      <c r="P138" s="24"/>
      <c r="Q138" s="24"/>
      <c r="R138" s="24">
        <f t="shared" si="56"/>
        <v>13500</v>
      </c>
      <c r="S138" s="26">
        <f t="shared" si="50"/>
        <v>162000</v>
      </c>
    </row>
    <row r="139" spans="1:20" x14ac:dyDescent="0.25">
      <c r="A139" s="21" t="s">
        <v>222</v>
      </c>
      <c r="B139" s="22" t="s">
        <v>136</v>
      </c>
      <c r="C139" s="23">
        <v>2</v>
      </c>
      <c r="D139" s="23">
        <v>3</v>
      </c>
      <c r="E139" s="24">
        <f>3770*C139</f>
        <v>7540</v>
      </c>
      <c r="F139" s="23"/>
      <c r="G139" s="24">
        <f t="shared" si="51"/>
        <v>7540</v>
      </c>
      <c r="H139" s="24"/>
      <c r="I139" s="24">
        <f>G139*0.1</f>
        <v>754</v>
      </c>
      <c r="J139" s="24"/>
      <c r="K139" s="24"/>
      <c r="L139" s="24"/>
      <c r="M139" s="24"/>
      <c r="N139" s="24"/>
      <c r="O139" s="24"/>
      <c r="P139" s="24">
        <f>8647*C139-G139</f>
        <v>9754</v>
      </c>
      <c r="Q139" s="24"/>
      <c r="R139" s="24">
        <f>SUM(G139:Q139)</f>
        <v>18048</v>
      </c>
      <c r="S139" s="26">
        <f t="shared" si="50"/>
        <v>216576</v>
      </c>
    </row>
    <row r="140" spans="1:20" s="33" customFormat="1" ht="25.8" customHeight="1" thickBot="1" x14ac:dyDescent="0.3">
      <c r="A140" s="28"/>
      <c r="B140" s="29" t="s">
        <v>58</v>
      </c>
      <c r="C140" s="30">
        <f>SUM(C129:C139)</f>
        <v>17.5</v>
      </c>
      <c r="D140" s="30"/>
      <c r="E140" s="31">
        <f>SUM(E129:E139)</f>
        <v>110403</v>
      </c>
      <c r="F140" s="30">
        <f>SUM(F129:F139)</f>
        <v>2032.1000000000001</v>
      </c>
      <c r="G140" s="31">
        <f>SUM(G129:G139)</f>
        <v>112435.1</v>
      </c>
      <c r="H140" s="31"/>
      <c r="I140" s="31">
        <f>SUM(I129:I139)</f>
        <v>3661.5</v>
      </c>
      <c r="J140" s="31"/>
      <c r="K140" s="31">
        <f>SUM(K129:K139)</f>
        <v>31468.530000000002</v>
      </c>
      <c r="L140" s="31">
        <f>SUM(L129:L139)</f>
        <v>118728.87000000001</v>
      </c>
      <c r="M140" s="31">
        <f>SUM(M139:M139)</f>
        <v>0</v>
      </c>
      <c r="N140" s="31"/>
      <c r="O140" s="31">
        <f>SUM(O134:O139)</f>
        <v>0</v>
      </c>
      <c r="P140" s="31">
        <f>SUM(P139:P139)</f>
        <v>9754</v>
      </c>
      <c r="Q140" s="31"/>
      <c r="R140" s="31">
        <f>SUM(R129:R139)</f>
        <v>276048</v>
      </c>
      <c r="S140" s="36">
        <f>SUM(S129:S139)</f>
        <v>3312576</v>
      </c>
    </row>
    <row r="141" spans="1:20" ht="27.6" customHeight="1" x14ac:dyDescent="0.25">
      <c r="A141" s="82"/>
      <c r="B141" s="72" t="s">
        <v>223</v>
      </c>
      <c r="C141" s="37"/>
      <c r="D141" s="37"/>
      <c r="E141" s="38"/>
      <c r="F141" s="37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63"/>
    </row>
    <row r="142" spans="1:20" x14ac:dyDescent="0.25">
      <c r="A142" s="21" t="s">
        <v>224</v>
      </c>
      <c r="B142" s="22" t="s">
        <v>225</v>
      </c>
      <c r="C142" s="23">
        <v>6.5</v>
      </c>
      <c r="D142" s="23">
        <v>10</v>
      </c>
      <c r="E142" s="24">
        <f>5815*C142</f>
        <v>37797.5</v>
      </c>
      <c r="F142" s="23"/>
      <c r="G142" s="24">
        <f t="shared" ref="G142:G143" si="57">E142+F142</f>
        <v>37797.5</v>
      </c>
      <c r="H142" s="24"/>
      <c r="I142" s="24"/>
      <c r="J142" s="24"/>
      <c r="K142" s="24">
        <f t="shared" ref="K142" si="58">G142*0.3</f>
        <v>11339.25</v>
      </c>
      <c r="L142" s="24">
        <f>13500*C142-G142-K142-N142</f>
        <v>34185.904999999999</v>
      </c>
      <c r="M142" s="24"/>
      <c r="N142" s="24">
        <f>681.13*C142</f>
        <v>4427.3450000000003</v>
      </c>
      <c r="O142" s="24"/>
      <c r="P142" s="24"/>
      <c r="Q142" s="24"/>
      <c r="R142" s="24">
        <f t="shared" ref="R142" si="59">G142+K142+L142+N142</f>
        <v>87750</v>
      </c>
      <c r="S142" s="26">
        <f>R142*12</f>
        <v>1053000</v>
      </c>
    </row>
    <row r="143" spans="1:20" x14ac:dyDescent="0.25">
      <c r="A143" s="21" t="s">
        <v>226</v>
      </c>
      <c r="B143" s="22" t="s">
        <v>79</v>
      </c>
      <c r="C143" s="23">
        <v>5</v>
      </c>
      <c r="D143" s="23">
        <v>4</v>
      </c>
      <c r="E143" s="24">
        <f>4058*C143</f>
        <v>20290</v>
      </c>
      <c r="F143" s="23"/>
      <c r="G143" s="24">
        <f t="shared" si="57"/>
        <v>20290</v>
      </c>
      <c r="H143" s="24"/>
      <c r="I143" s="24"/>
      <c r="J143" s="24"/>
      <c r="K143" s="24"/>
      <c r="L143" s="24"/>
      <c r="M143" s="24"/>
      <c r="N143" s="24">
        <f>475.33*C143</f>
        <v>2376.65</v>
      </c>
      <c r="O143" s="24"/>
      <c r="P143" s="24">
        <f>8647*C143-G143</f>
        <v>22945</v>
      </c>
      <c r="Q143" s="24"/>
      <c r="R143" s="24">
        <f>E143+P143+N143</f>
        <v>45611.65</v>
      </c>
      <c r="S143" s="26">
        <f>R143*12</f>
        <v>547339.80000000005</v>
      </c>
    </row>
    <row r="144" spans="1:20" s="33" customFormat="1" ht="22.2" customHeight="1" thickBot="1" x14ac:dyDescent="0.3">
      <c r="A144" s="28"/>
      <c r="B144" s="29" t="s">
        <v>58</v>
      </c>
      <c r="C144" s="30">
        <f>SUM(C142:C143)</f>
        <v>11.5</v>
      </c>
      <c r="D144" s="30"/>
      <c r="E144" s="31">
        <f>SUM(E142:E143)</f>
        <v>58087.5</v>
      </c>
      <c r="F144" s="30"/>
      <c r="G144" s="31">
        <f>SUM(G142:G143)</f>
        <v>58087.5</v>
      </c>
      <c r="H144" s="31"/>
      <c r="I144" s="31"/>
      <c r="J144" s="31"/>
      <c r="K144" s="31">
        <f>SUM(K142:K143)</f>
        <v>11339.25</v>
      </c>
      <c r="L144" s="31">
        <f>SUM(L142:L143)</f>
        <v>34185.904999999999</v>
      </c>
      <c r="M144" s="31"/>
      <c r="N144" s="31">
        <f>SUM(N142:N143)</f>
        <v>6803.9950000000008</v>
      </c>
      <c r="O144" s="31"/>
      <c r="P144" s="31">
        <f>SUM(P142:P143)</f>
        <v>22945</v>
      </c>
      <c r="Q144" s="31"/>
      <c r="R144" s="31">
        <f>SUM(R142:R143)</f>
        <v>133361.65</v>
      </c>
      <c r="S144" s="36">
        <f>SUM(S142:S143)</f>
        <v>1600339.8</v>
      </c>
    </row>
    <row r="145" spans="1:20" ht="29.4" customHeight="1" x14ac:dyDescent="0.25">
      <c r="A145" s="82"/>
      <c r="B145" s="72" t="s">
        <v>227</v>
      </c>
      <c r="C145" s="37"/>
      <c r="D145" s="37"/>
      <c r="E145" s="38"/>
      <c r="F145" s="37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63"/>
    </row>
    <row r="146" spans="1:20" x14ac:dyDescent="0.25">
      <c r="A146" s="21" t="s">
        <v>228</v>
      </c>
      <c r="B146" s="22" t="s">
        <v>213</v>
      </c>
      <c r="C146" s="23">
        <v>1</v>
      </c>
      <c r="D146" s="23">
        <v>12</v>
      </c>
      <c r="E146" s="24">
        <f>6773*C146</f>
        <v>6773</v>
      </c>
      <c r="F146" s="23">
        <f>E146*0.1</f>
        <v>677.30000000000007</v>
      </c>
      <c r="G146" s="24">
        <f t="shared" ref="G146:G151" si="60">E146+F146</f>
        <v>7450.3</v>
      </c>
      <c r="H146" s="24"/>
      <c r="I146" s="24"/>
      <c r="J146" s="24"/>
      <c r="K146" s="24">
        <f>G146*0.3</f>
        <v>2235.09</v>
      </c>
      <c r="L146" s="24">
        <f>20000*C146-G146-K146</f>
        <v>10314.61</v>
      </c>
      <c r="M146" s="24"/>
      <c r="N146" s="24"/>
      <c r="O146" s="24"/>
      <c r="P146" s="24"/>
      <c r="Q146" s="24"/>
      <c r="R146" s="24">
        <f>G146+K146+L146</f>
        <v>20000</v>
      </c>
      <c r="S146" s="26">
        <f>R146*12</f>
        <v>240000</v>
      </c>
    </row>
    <row r="147" spans="1:20" x14ac:dyDescent="0.25">
      <c r="A147" s="21" t="s">
        <v>229</v>
      </c>
      <c r="B147" s="22" t="s">
        <v>93</v>
      </c>
      <c r="C147" s="23">
        <v>1</v>
      </c>
      <c r="D147" s="23">
        <v>7</v>
      </c>
      <c r="E147" s="24">
        <v>4920</v>
      </c>
      <c r="F147" s="23"/>
      <c r="G147" s="24">
        <f t="shared" si="60"/>
        <v>4920</v>
      </c>
      <c r="H147" s="24"/>
      <c r="I147" s="24"/>
      <c r="J147" s="24"/>
      <c r="K147" s="24">
        <f>G147*0.3</f>
        <v>1476</v>
      </c>
      <c r="L147" s="24">
        <f>13500-G147-K147</f>
        <v>7104</v>
      </c>
      <c r="M147" s="24"/>
      <c r="N147" s="24"/>
      <c r="O147" s="24"/>
      <c r="P147" s="24"/>
      <c r="Q147" s="24"/>
      <c r="R147" s="24">
        <f>G147+K147+L147</f>
        <v>13500</v>
      </c>
      <c r="S147" s="26">
        <f t="shared" ref="S147:S148" si="61">R147*12</f>
        <v>162000</v>
      </c>
    </row>
    <row r="148" spans="1:20" x14ac:dyDescent="0.25">
      <c r="A148" s="21" t="s">
        <v>230</v>
      </c>
      <c r="B148" s="22" t="s">
        <v>136</v>
      </c>
      <c r="C148" s="23">
        <v>1</v>
      </c>
      <c r="D148" s="23">
        <v>3</v>
      </c>
      <c r="E148" s="24">
        <v>3770</v>
      </c>
      <c r="F148" s="23"/>
      <c r="G148" s="24">
        <f t="shared" si="60"/>
        <v>3770</v>
      </c>
      <c r="H148" s="24"/>
      <c r="I148" s="24">
        <f>G148*0.1</f>
        <v>377</v>
      </c>
      <c r="J148" s="24"/>
      <c r="K148" s="24"/>
      <c r="L148" s="24"/>
      <c r="M148" s="24"/>
      <c r="N148" s="24"/>
      <c r="O148" s="24"/>
      <c r="P148" s="24">
        <f>8647-G148</f>
        <v>4877</v>
      </c>
      <c r="Q148" s="24"/>
      <c r="R148" s="24">
        <f>SUM(G148:Q148)</f>
        <v>9024</v>
      </c>
      <c r="S148" s="26">
        <f t="shared" si="61"/>
        <v>108288</v>
      </c>
    </row>
    <row r="149" spans="1:20" x14ac:dyDescent="0.25">
      <c r="A149" s="21" t="s">
        <v>231</v>
      </c>
      <c r="B149" s="22" t="s">
        <v>232</v>
      </c>
      <c r="C149" s="23">
        <v>1.75</v>
      </c>
      <c r="D149" s="23">
        <v>1</v>
      </c>
      <c r="E149" s="24">
        <f>3195*C149</f>
        <v>5591.25</v>
      </c>
      <c r="F149" s="23"/>
      <c r="G149" s="24">
        <f t="shared" si="60"/>
        <v>5591.25</v>
      </c>
      <c r="H149" s="24"/>
      <c r="I149" s="24"/>
      <c r="J149" s="24"/>
      <c r="K149" s="24"/>
      <c r="L149" s="24"/>
      <c r="M149" s="24"/>
      <c r="N149" s="24"/>
      <c r="O149" s="24"/>
      <c r="P149" s="24">
        <f>8647*C149-G149</f>
        <v>9541</v>
      </c>
      <c r="Q149" s="24"/>
      <c r="R149" s="24">
        <f>SUM(G149:Q149)</f>
        <v>15132.25</v>
      </c>
      <c r="S149" s="26">
        <f>R149*6</f>
        <v>90793.5</v>
      </c>
    </row>
    <row r="150" spans="1:20" s="44" customFormat="1" x14ac:dyDescent="0.25">
      <c r="A150" s="21" t="s">
        <v>233</v>
      </c>
      <c r="B150" s="22" t="s">
        <v>234</v>
      </c>
      <c r="C150" s="23">
        <v>0.5</v>
      </c>
      <c r="D150" s="23">
        <v>1</v>
      </c>
      <c r="E150" s="24">
        <v>1597.5</v>
      </c>
      <c r="F150" s="23"/>
      <c r="G150" s="24">
        <f t="shared" si="60"/>
        <v>1597.5</v>
      </c>
      <c r="H150" s="24"/>
      <c r="I150" s="24"/>
      <c r="J150" s="24"/>
      <c r="K150" s="24"/>
      <c r="L150" s="24"/>
      <c r="M150" s="24"/>
      <c r="N150" s="24"/>
      <c r="O150" s="24"/>
      <c r="P150" s="24">
        <f>4323.5-G150</f>
        <v>2726</v>
      </c>
      <c r="Q150" s="24"/>
      <c r="R150" s="24">
        <f>SUM(G150:Q150)</f>
        <v>4323.5</v>
      </c>
      <c r="S150" s="26">
        <f>R150*12</f>
        <v>51882</v>
      </c>
    </row>
    <row r="151" spans="1:20" s="33" customFormat="1" ht="27" customHeight="1" thickBot="1" x14ac:dyDescent="0.3">
      <c r="A151" s="28"/>
      <c r="B151" s="29" t="s">
        <v>58</v>
      </c>
      <c r="C151" s="30">
        <f>SUM(C146:C150)</f>
        <v>5.25</v>
      </c>
      <c r="D151" s="30"/>
      <c r="E151" s="31">
        <f>SUM(E146:E150)</f>
        <v>22651.75</v>
      </c>
      <c r="F151" s="30">
        <f>SUM(F146:F150)</f>
        <v>677.30000000000007</v>
      </c>
      <c r="G151" s="31">
        <f t="shared" si="60"/>
        <v>23329.05</v>
      </c>
      <c r="H151" s="31"/>
      <c r="I151" s="31">
        <f>SUM(I148:I150)</f>
        <v>377</v>
      </c>
      <c r="J151" s="31"/>
      <c r="K151" s="31">
        <f>SUM(K146:K150)</f>
        <v>3711.09</v>
      </c>
      <c r="L151" s="31">
        <f>SUM(L146:L150)</f>
        <v>17418.61</v>
      </c>
      <c r="M151" s="31"/>
      <c r="N151" s="31"/>
      <c r="O151" s="31"/>
      <c r="P151" s="31">
        <f>SUM(P146:P150)</f>
        <v>17144</v>
      </c>
      <c r="Q151" s="31"/>
      <c r="R151" s="31">
        <f>SUM(R146:R150)</f>
        <v>61979.75</v>
      </c>
      <c r="S151" s="36">
        <f>SUM(S146:S150)</f>
        <v>652963.5</v>
      </c>
    </row>
    <row r="152" spans="1:20" ht="23.4" customHeight="1" x14ac:dyDescent="0.25">
      <c r="A152" s="82"/>
      <c r="B152" s="72" t="s">
        <v>235</v>
      </c>
      <c r="C152" s="37"/>
      <c r="D152" s="37"/>
      <c r="E152" s="38"/>
      <c r="F152" s="37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63"/>
    </row>
    <row r="153" spans="1:20" x14ac:dyDescent="0.25">
      <c r="A153" s="21" t="s">
        <v>236</v>
      </c>
      <c r="B153" s="22" t="s">
        <v>237</v>
      </c>
      <c r="C153" s="23">
        <v>1.25</v>
      </c>
      <c r="D153" s="23">
        <v>13</v>
      </c>
      <c r="E153" s="24">
        <f>7253*C153</f>
        <v>9066.25</v>
      </c>
      <c r="F153" s="23">
        <f>E153*0.1</f>
        <v>906.625</v>
      </c>
      <c r="G153" s="24">
        <f t="shared" ref="G153:G157" si="62">E153+F153</f>
        <v>9972.875</v>
      </c>
      <c r="H153" s="24"/>
      <c r="I153" s="24"/>
      <c r="J153" s="24"/>
      <c r="K153" s="24">
        <f>G153*0.3</f>
        <v>2991.8624999999997</v>
      </c>
      <c r="L153" s="24">
        <f>20000*C153-G153-K153</f>
        <v>12035.262500000001</v>
      </c>
      <c r="M153" s="24"/>
      <c r="N153" s="24"/>
      <c r="O153" s="24"/>
      <c r="P153" s="24"/>
      <c r="Q153" s="24"/>
      <c r="R153" s="24">
        <f>G153+K153+L153+O153</f>
        <v>25000</v>
      </c>
      <c r="S153" s="26">
        <f>R153*12</f>
        <v>300000</v>
      </c>
    </row>
    <row r="154" spans="1:20" x14ac:dyDescent="0.25">
      <c r="A154" s="21" t="s">
        <v>238</v>
      </c>
      <c r="B154" s="22" t="s">
        <v>239</v>
      </c>
      <c r="C154" s="23">
        <v>2</v>
      </c>
      <c r="D154" s="23">
        <v>10</v>
      </c>
      <c r="E154" s="24">
        <f>5815*C154</f>
        <v>11630</v>
      </c>
      <c r="F154" s="23"/>
      <c r="G154" s="24">
        <f t="shared" si="62"/>
        <v>11630</v>
      </c>
      <c r="H154" s="24"/>
      <c r="I154" s="24"/>
      <c r="J154" s="24"/>
      <c r="K154" s="24">
        <f t="shared" ref="K154:K155" si="63">G154*0.3</f>
        <v>3489</v>
      </c>
      <c r="L154" s="24">
        <f>13500*C154-G154-K154</f>
        <v>11881</v>
      </c>
      <c r="M154" s="24"/>
      <c r="N154" s="24"/>
      <c r="O154" s="24"/>
      <c r="P154" s="24"/>
      <c r="Q154" s="24"/>
      <c r="R154" s="24">
        <f>G154+K154+L154</f>
        <v>27000</v>
      </c>
      <c r="S154" s="26">
        <f t="shared" ref="S154:S156" si="64">R154*12</f>
        <v>324000</v>
      </c>
    </row>
    <row r="155" spans="1:20" s="13" customFormat="1" x14ac:dyDescent="0.25">
      <c r="A155" s="21" t="s">
        <v>240</v>
      </c>
      <c r="B155" s="22" t="s">
        <v>241</v>
      </c>
      <c r="C155" s="23">
        <v>1</v>
      </c>
      <c r="D155" s="23">
        <v>7</v>
      </c>
      <c r="E155" s="24">
        <v>4920</v>
      </c>
      <c r="F155" s="23"/>
      <c r="G155" s="24">
        <f t="shared" si="62"/>
        <v>4920</v>
      </c>
      <c r="H155" s="24"/>
      <c r="I155" s="24"/>
      <c r="J155" s="24"/>
      <c r="K155" s="24">
        <f t="shared" si="63"/>
        <v>1476</v>
      </c>
      <c r="L155" s="24">
        <f>13500-G155-K155</f>
        <v>7104</v>
      </c>
      <c r="M155" s="24"/>
      <c r="N155" s="24"/>
      <c r="O155" s="24"/>
      <c r="P155" s="24"/>
      <c r="Q155" s="24"/>
      <c r="R155" s="24">
        <f>G155+L155+K155</f>
        <v>13500</v>
      </c>
      <c r="S155" s="26">
        <f t="shared" si="64"/>
        <v>162000</v>
      </c>
    </row>
    <row r="156" spans="1:20" s="44" customFormat="1" x14ac:dyDescent="0.25">
      <c r="A156" s="21" t="s">
        <v>242</v>
      </c>
      <c r="B156" s="22" t="s">
        <v>136</v>
      </c>
      <c r="C156" s="23">
        <v>1</v>
      </c>
      <c r="D156" s="23">
        <v>3</v>
      </c>
      <c r="E156" s="24">
        <v>3770</v>
      </c>
      <c r="F156" s="23"/>
      <c r="G156" s="24">
        <f t="shared" si="62"/>
        <v>3770</v>
      </c>
      <c r="H156" s="24"/>
      <c r="I156" s="24">
        <f>G156*0.1</f>
        <v>377</v>
      </c>
      <c r="J156" s="24"/>
      <c r="K156" s="24"/>
      <c r="L156" s="24"/>
      <c r="M156" s="24"/>
      <c r="N156" s="24"/>
      <c r="O156" s="24"/>
      <c r="P156" s="24">
        <f>8647-G156</f>
        <v>4877</v>
      </c>
      <c r="Q156" s="24"/>
      <c r="R156" s="24">
        <f>G156+I156+P156</f>
        <v>9024</v>
      </c>
      <c r="S156" s="26">
        <f t="shared" si="64"/>
        <v>108288</v>
      </c>
      <c r="T156" s="64"/>
    </row>
    <row r="157" spans="1:20" s="33" customFormat="1" ht="27" customHeight="1" thickBot="1" x14ac:dyDescent="0.3">
      <c r="A157" s="28"/>
      <c r="B157" s="29" t="s">
        <v>58</v>
      </c>
      <c r="C157" s="30">
        <f>SUM(C153:C156)</f>
        <v>5.25</v>
      </c>
      <c r="D157" s="30"/>
      <c r="E157" s="31">
        <f>SUM(E153:E156)</f>
        <v>29386.25</v>
      </c>
      <c r="F157" s="30">
        <f>SUM(F153:F156)</f>
        <v>906.625</v>
      </c>
      <c r="G157" s="31">
        <f t="shared" si="62"/>
        <v>30292.875</v>
      </c>
      <c r="H157" s="31"/>
      <c r="I157" s="31">
        <f>SUM(I156)</f>
        <v>377</v>
      </c>
      <c r="J157" s="31"/>
      <c r="K157" s="31">
        <f>SUM(K153:K156)</f>
        <v>7956.8624999999993</v>
      </c>
      <c r="L157" s="31">
        <f>SUM(L153:L156)</f>
        <v>31020.262500000001</v>
      </c>
      <c r="M157" s="31">
        <f>SUM(M153:M155)</f>
        <v>0</v>
      </c>
      <c r="N157" s="31"/>
      <c r="O157" s="31">
        <f>SUM(O153:O156)</f>
        <v>0</v>
      </c>
      <c r="P157" s="31">
        <f>SUM(P156)</f>
        <v>4877</v>
      </c>
      <c r="Q157" s="31"/>
      <c r="R157" s="31">
        <f>SUM(R153:R156)</f>
        <v>74524</v>
      </c>
      <c r="S157" s="36">
        <f>SUM(S153:S156)</f>
        <v>894288</v>
      </c>
    </row>
    <row r="158" spans="1:20" ht="17.399999999999999" customHeight="1" x14ac:dyDescent="0.25">
      <c r="A158" s="82"/>
      <c r="B158" s="72" t="s">
        <v>243</v>
      </c>
      <c r="C158" s="37"/>
      <c r="D158" s="37"/>
      <c r="E158" s="38"/>
      <c r="F158" s="37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63"/>
    </row>
    <row r="159" spans="1:20" x14ac:dyDescent="0.25">
      <c r="A159" s="21" t="s">
        <v>244</v>
      </c>
      <c r="B159" s="22" t="s">
        <v>213</v>
      </c>
      <c r="C159" s="23">
        <v>2.25</v>
      </c>
      <c r="D159" s="23">
        <v>11</v>
      </c>
      <c r="E159" s="24">
        <f>6294*C159</f>
        <v>14161.5</v>
      </c>
      <c r="F159" s="23">
        <f>E159*0.1</f>
        <v>1416.15</v>
      </c>
      <c r="G159" s="24">
        <f t="shared" ref="G159:G164" si="65">E159+F159</f>
        <v>15577.65</v>
      </c>
      <c r="H159" s="24"/>
      <c r="I159" s="24"/>
      <c r="J159" s="24"/>
      <c r="K159" s="24">
        <f>G159*0.3</f>
        <v>4673.2950000000001</v>
      </c>
      <c r="L159" s="24">
        <f>20000*C159-G159-K159</f>
        <v>24749.055</v>
      </c>
      <c r="M159" s="24"/>
      <c r="N159" s="24"/>
      <c r="O159" s="24"/>
      <c r="P159" s="24"/>
      <c r="Q159" s="24"/>
      <c r="R159" s="24">
        <f>SUM(G159:Q159)</f>
        <v>45000</v>
      </c>
      <c r="S159" s="26">
        <f>R159*12</f>
        <v>540000</v>
      </c>
    </row>
    <row r="160" spans="1:20" x14ac:dyDescent="0.25">
      <c r="A160" s="21" t="s">
        <v>245</v>
      </c>
      <c r="B160" s="22" t="s">
        <v>246</v>
      </c>
      <c r="C160" s="23">
        <v>2</v>
      </c>
      <c r="D160" s="23">
        <v>10</v>
      </c>
      <c r="E160" s="24">
        <f>5815*C160</f>
        <v>11630</v>
      </c>
      <c r="F160" s="23"/>
      <c r="G160" s="24">
        <f t="shared" si="65"/>
        <v>11630</v>
      </c>
      <c r="H160" s="24"/>
      <c r="I160" s="24"/>
      <c r="J160" s="24"/>
      <c r="K160" s="24">
        <f t="shared" ref="K160:K161" si="66">G160*0.3</f>
        <v>3489</v>
      </c>
      <c r="L160" s="24">
        <f>13500*C160-G160-K160</f>
        <v>11881</v>
      </c>
      <c r="M160" s="24"/>
      <c r="N160" s="24"/>
      <c r="O160" s="24"/>
      <c r="P160" s="24"/>
      <c r="Q160" s="24"/>
      <c r="R160" s="24">
        <f>G160+K160+L160</f>
        <v>27000</v>
      </c>
      <c r="S160" s="26">
        <f t="shared" ref="S160:S163" si="67">R160*12</f>
        <v>324000</v>
      </c>
    </row>
    <row r="161" spans="1:20" s="13" customFormat="1" x14ac:dyDescent="0.25">
      <c r="A161" s="21" t="s">
        <v>247</v>
      </c>
      <c r="B161" s="22" t="s">
        <v>93</v>
      </c>
      <c r="C161" s="23">
        <v>2</v>
      </c>
      <c r="D161" s="23">
        <v>9</v>
      </c>
      <c r="E161" s="24">
        <f>5527*C161</f>
        <v>11054</v>
      </c>
      <c r="F161" s="23"/>
      <c r="G161" s="24">
        <f t="shared" si="65"/>
        <v>11054</v>
      </c>
      <c r="H161" s="24"/>
      <c r="I161" s="24"/>
      <c r="J161" s="24"/>
      <c r="K161" s="24">
        <f t="shared" si="66"/>
        <v>3316.2</v>
      </c>
      <c r="L161" s="24">
        <f>13500*C161-G161-K161</f>
        <v>12629.8</v>
      </c>
      <c r="M161" s="24"/>
      <c r="N161" s="24"/>
      <c r="O161" s="24"/>
      <c r="P161" s="24"/>
      <c r="Q161" s="24"/>
      <c r="R161" s="24">
        <f>G161+K161+L161</f>
        <v>27000</v>
      </c>
      <c r="S161" s="26">
        <f t="shared" si="67"/>
        <v>324000</v>
      </c>
    </row>
    <row r="162" spans="1:20" x14ac:dyDescent="0.25">
      <c r="A162" s="21" t="s">
        <v>248</v>
      </c>
      <c r="B162" s="22" t="s">
        <v>136</v>
      </c>
      <c r="C162" s="23">
        <v>1</v>
      </c>
      <c r="D162" s="23">
        <v>3</v>
      </c>
      <c r="E162" s="24">
        <v>3770</v>
      </c>
      <c r="F162" s="23"/>
      <c r="G162" s="24">
        <f t="shared" si="65"/>
        <v>3770</v>
      </c>
      <c r="H162" s="24"/>
      <c r="I162" s="24">
        <f>G162*0.1</f>
        <v>377</v>
      </c>
      <c r="J162" s="24"/>
      <c r="K162" s="24"/>
      <c r="L162" s="24"/>
      <c r="M162" s="24"/>
      <c r="N162" s="24"/>
      <c r="O162" s="24"/>
      <c r="P162" s="24">
        <f>8647-G162</f>
        <v>4877</v>
      </c>
      <c r="Q162" s="24"/>
      <c r="R162" s="24">
        <f>SUM(G162:Q162)</f>
        <v>9024</v>
      </c>
      <c r="S162" s="26">
        <f t="shared" si="67"/>
        <v>108288</v>
      </c>
    </row>
    <row r="163" spans="1:20" s="44" customFormat="1" x14ac:dyDescent="0.25">
      <c r="A163" s="21" t="s">
        <v>249</v>
      </c>
      <c r="B163" s="22" t="s">
        <v>250</v>
      </c>
      <c r="C163" s="23">
        <v>1</v>
      </c>
      <c r="D163" s="23">
        <v>5</v>
      </c>
      <c r="E163" s="24">
        <v>4345</v>
      </c>
      <c r="F163" s="23"/>
      <c r="G163" s="24">
        <f t="shared" si="65"/>
        <v>4345</v>
      </c>
      <c r="H163" s="24"/>
      <c r="I163" s="24"/>
      <c r="J163" s="24"/>
      <c r="K163" s="24"/>
      <c r="L163" s="24"/>
      <c r="M163" s="24"/>
      <c r="N163" s="24"/>
      <c r="O163" s="24"/>
      <c r="P163" s="24">
        <f>8647-G163</f>
        <v>4302</v>
      </c>
      <c r="Q163" s="24"/>
      <c r="R163" s="24">
        <f>G163+P163</f>
        <v>8647</v>
      </c>
      <c r="S163" s="26">
        <f t="shared" si="67"/>
        <v>103764</v>
      </c>
    </row>
    <row r="164" spans="1:20" s="33" customFormat="1" ht="17.399999999999999" customHeight="1" thickBot="1" x14ac:dyDescent="0.3">
      <c r="A164" s="28"/>
      <c r="B164" s="29" t="s">
        <v>58</v>
      </c>
      <c r="C164" s="30">
        <f>SUM(C159:C163)</f>
        <v>8.25</v>
      </c>
      <c r="D164" s="30"/>
      <c r="E164" s="31">
        <f>SUM(E159:E163)</f>
        <v>44960.5</v>
      </c>
      <c r="F164" s="30">
        <f>SUM(F159:F163)</f>
        <v>1416.15</v>
      </c>
      <c r="G164" s="31">
        <f t="shared" si="65"/>
        <v>46376.65</v>
      </c>
      <c r="H164" s="31"/>
      <c r="I164" s="31">
        <f>SUM(I162:I163)</f>
        <v>377</v>
      </c>
      <c r="J164" s="31"/>
      <c r="K164" s="31">
        <f>SUM(K159:K163)</f>
        <v>11478.494999999999</v>
      </c>
      <c r="L164" s="31">
        <f>SUM(L159:L163)</f>
        <v>49259.854999999996</v>
      </c>
      <c r="M164" s="31">
        <f>M159</f>
        <v>0</v>
      </c>
      <c r="N164" s="31"/>
      <c r="O164" s="31">
        <f>SUM(O159:O163)</f>
        <v>0</v>
      </c>
      <c r="P164" s="31">
        <f>SUM(P162:P163)</f>
        <v>9179</v>
      </c>
      <c r="Q164" s="31"/>
      <c r="R164" s="31">
        <f>SUM(R159:R163)</f>
        <v>116671</v>
      </c>
      <c r="S164" s="36">
        <f>SUM(S159:S163)</f>
        <v>1400052</v>
      </c>
    </row>
    <row r="165" spans="1:20" s="13" customFormat="1" ht="25.8" customHeight="1" x14ac:dyDescent="0.2">
      <c r="A165" s="17"/>
      <c r="B165" s="72" t="s">
        <v>251</v>
      </c>
      <c r="C165" s="37"/>
      <c r="D165" s="37"/>
      <c r="E165" s="38"/>
      <c r="F165" s="37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63"/>
    </row>
    <row r="166" spans="1:20" x14ac:dyDescent="0.25">
      <c r="A166" s="21" t="s">
        <v>252</v>
      </c>
      <c r="B166" s="22" t="s">
        <v>237</v>
      </c>
      <c r="C166" s="23">
        <v>1.25</v>
      </c>
      <c r="D166" s="23">
        <v>11</v>
      </c>
      <c r="E166" s="24">
        <f>6294*C166</f>
        <v>7867.5</v>
      </c>
      <c r="F166" s="23">
        <f>E166*0.1</f>
        <v>786.75</v>
      </c>
      <c r="G166" s="24">
        <f t="shared" ref="G166:G169" si="68">E166+F166</f>
        <v>8654.25</v>
      </c>
      <c r="H166" s="24"/>
      <c r="I166" s="24"/>
      <c r="J166" s="24"/>
      <c r="K166" s="24">
        <f>G166*0.3</f>
        <v>2596.2750000000001</v>
      </c>
      <c r="L166" s="24">
        <f>20000*C166-G166-K166</f>
        <v>13749.475</v>
      </c>
      <c r="M166" s="24"/>
      <c r="N166" s="24"/>
      <c r="O166" s="24"/>
      <c r="P166" s="24"/>
      <c r="Q166" s="24"/>
      <c r="R166" s="24">
        <f>G166+K166+L166+O166</f>
        <v>25000</v>
      </c>
      <c r="S166" s="26">
        <f>R166*12</f>
        <v>300000</v>
      </c>
      <c r="T166" s="70"/>
    </row>
    <row r="167" spans="1:20" x14ac:dyDescent="0.25">
      <c r="A167" s="21" t="s">
        <v>253</v>
      </c>
      <c r="B167" s="22" t="s">
        <v>241</v>
      </c>
      <c r="C167" s="23">
        <v>1</v>
      </c>
      <c r="D167" s="23">
        <v>10</v>
      </c>
      <c r="E167" s="24">
        <v>5815</v>
      </c>
      <c r="F167" s="23"/>
      <c r="G167" s="24">
        <f t="shared" si="68"/>
        <v>5815</v>
      </c>
      <c r="H167" s="24"/>
      <c r="I167" s="24"/>
      <c r="J167" s="24"/>
      <c r="K167" s="24">
        <f t="shared" ref="K167:K168" si="69">G167*0.3</f>
        <v>1744.5</v>
      </c>
      <c r="L167" s="24">
        <f>13500-G167-K167</f>
        <v>5940.5</v>
      </c>
      <c r="M167" s="24"/>
      <c r="N167" s="24"/>
      <c r="O167" s="24"/>
      <c r="P167" s="24"/>
      <c r="Q167" s="24"/>
      <c r="R167" s="24">
        <f>G167+K167+L167</f>
        <v>13500</v>
      </c>
      <c r="S167" s="26">
        <f t="shared" ref="S167:S170" si="70">R167*12</f>
        <v>162000</v>
      </c>
    </row>
    <row r="168" spans="1:20" x14ac:dyDescent="0.25">
      <c r="A168" s="21" t="s">
        <v>254</v>
      </c>
      <c r="B168" s="22" t="s">
        <v>93</v>
      </c>
      <c r="C168" s="23">
        <v>0.5</v>
      </c>
      <c r="D168" s="23">
        <v>10</v>
      </c>
      <c r="E168" s="24">
        <v>2907.5</v>
      </c>
      <c r="F168" s="23"/>
      <c r="G168" s="24">
        <f t="shared" si="68"/>
        <v>2907.5</v>
      </c>
      <c r="H168" s="24"/>
      <c r="I168" s="24"/>
      <c r="J168" s="24"/>
      <c r="K168" s="24">
        <f t="shared" si="69"/>
        <v>872.25</v>
      </c>
      <c r="L168" s="24">
        <f>13500/2-G168-K168</f>
        <v>2970.25</v>
      </c>
      <c r="M168" s="24"/>
      <c r="N168" s="24"/>
      <c r="O168" s="24"/>
      <c r="P168" s="24"/>
      <c r="Q168" s="24"/>
      <c r="R168" s="24">
        <f>G168+K168+L168</f>
        <v>6750</v>
      </c>
      <c r="S168" s="26">
        <f t="shared" si="70"/>
        <v>81000</v>
      </c>
    </row>
    <row r="169" spans="1:20" x14ac:dyDescent="0.25">
      <c r="A169" s="21" t="s">
        <v>255</v>
      </c>
      <c r="B169" s="22" t="s">
        <v>136</v>
      </c>
      <c r="C169" s="23">
        <v>0.5</v>
      </c>
      <c r="D169" s="23">
        <v>3</v>
      </c>
      <c r="E169" s="24">
        <v>1885</v>
      </c>
      <c r="F169" s="23"/>
      <c r="G169" s="24">
        <f t="shared" si="68"/>
        <v>1885</v>
      </c>
      <c r="H169" s="24"/>
      <c r="I169" s="24">
        <f>G169*0.1</f>
        <v>188.5</v>
      </c>
      <c r="J169" s="24"/>
      <c r="K169" s="24"/>
      <c r="L169" s="24"/>
      <c r="M169" s="24"/>
      <c r="N169" s="24"/>
      <c r="O169" s="24"/>
      <c r="P169" s="24">
        <f>8647/2-G169</f>
        <v>2438.5</v>
      </c>
      <c r="Q169" s="24"/>
      <c r="R169" s="24">
        <f>SUM(G169:Q169)</f>
        <v>4512</v>
      </c>
      <c r="S169" s="26">
        <f t="shared" si="70"/>
        <v>54144</v>
      </c>
    </row>
    <row r="170" spans="1:20" s="44" customFormat="1" x14ac:dyDescent="0.25">
      <c r="A170" s="21" t="s">
        <v>256</v>
      </c>
      <c r="B170" s="22" t="s">
        <v>234</v>
      </c>
      <c r="C170" s="23">
        <v>0.5</v>
      </c>
      <c r="D170" s="23">
        <v>1</v>
      </c>
      <c r="E170" s="24">
        <v>1597.5</v>
      </c>
      <c r="F170" s="23"/>
      <c r="G170" s="24">
        <f>E170+F170</f>
        <v>1597.5</v>
      </c>
      <c r="H170" s="24"/>
      <c r="I170" s="24"/>
      <c r="J170" s="24"/>
      <c r="K170" s="24"/>
      <c r="L170" s="24"/>
      <c r="M170" s="24"/>
      <c r="N170" s="24"/>
      <c r="O170" s="24"/>
      <c r="P170" s="24">
        <f>8647/2-G170</f>
        <v>2726</v>
      </c>
      <c r="Q170" s="24"/>
      <c r="R170" s="24">
        <f t="shared" ref="R170" si="71">SUM(G170:Q170)</f>
        <v>4323.5</v>
      </c>
      <c r="S170" s="26">
        <f t="shared" si="70"/>
        <v>51882</v>
      </c>
    </row>
    <row r="171" spans="1:20" s="66" customFormat="1" ht="25.8" customHeight="1" thickBot="1" x14ac:dyDescent="0.3">
      <c r="A171" s="28"/>
      <c r="B171" s="29" t="s">
        <v>58</v>
      </c>
      <c r="C171" s="30">
        <f>SUM(C166:C170)</f>
        <v>3.75</v>
      </c>
      <c r="D171" s="30"/>
      <c r="E171" s="31">
        <f>SUM(E166:E170)</f>
        <v>20072.5</v>
      </c>
      <c r="F171" s="30">
        <f>SUM(F166:F170)</f>
        <v>786.75</v>
      </c>
      <c r="G171" s="31">
        <f>SUM(G166:G170)</f>
        <v>20859.25</v>
      </c>
      <c r="H171" s="31"/>
      <c r="I171" s="31">
        <f>SUM(I169:I170)</f>
        <v>188.5</v>
      </c>
      <c r="J171" s="31"/>
      <c r="K171" s="31">
        <f>SUM(K166:K170)</f>
        <v>5213.0249999999996</v>
      </c>
      <c r="L171" s="31">
        <f>SUM(L166:L170)</f>
        <v>22660.224999999999</v>
      </c>
      <c r="M171" s="31"/>
      <c r="N171" s="31"/>
      <c r="O171" s="31">
        <f>SUM(O166:O170)</f>
        <v>0</v>
      </c>
      <c r="P171" s="31">
        <f>SUM(P169:P170)</f>
        <v>5164.5</v>
      </c>
      <c r="Q171" s="31"/>
      <c r="R171" s="31">
        <f>SUM(R166:R170)</f>
        <v>54085.5</v>
      </c>
      <c r="S171" s="36">
        <f>SUM(S166:S170)</f>
        <v>649026</v>
      </c>
    </row>
    <row r="172" spans="1:20" s="13" customFormat="1" ht="23.4" customHeight="1" x14ac:dyDescent="0.2">
      <c r="A172" s="17"/>
      <c r="B172" s="72" t="s">
        <v>257</v>
      </c>
      <c r="C172" s="37"/>
      <c r="D172" s="37"/>
      <c r="E172" s="38"/>
      <c r="F172" s="37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63"/>
    </row>
    <row r="173" spans="1:20" s="13" customFormat="1" x14ac:dyDescent="0.25">
      <c r="A173" s="21" t="s">
        <v>258</v>
      </c>
      <c r="B173" s="22" t="s">
        <v>213</v>
      </c>
      <c r="C173" s="23">
        <v>1</v>
      </c>
      <c r="D173" s="23">
        <v>14</v>
      </c>
      <c r="E173" s="24">
        <v>7732</v>
      </c>
      <c r="F173" s="23">
        <f>E173*0.1</f>
        <v>773.2</v>
      </c>
      <c r="G173" s="24">
        <f t="shared" ref="G173:G180" si="72">E173+F173</f>
        <v>8505.2000000000007</v>
      </c>
      <c r="H173" s="24"/>
      <c r="I173" s="24"/>
      <c r="J173" s="24"/>
      <c r="K173" s="24">
        <f>G173*0.3</f>
        <v>2551.56</v>
      </c>
      <c r="L173" s="24">
        <f>20000-G173-K173</f>
        <v>8943.24</v>
      </c>
      <c r="M173" s="24"/>
      <c r="N173" s="24"/>
      <c r="O173" s="24"/>
      <c r="P173" s="24"/>
      <c r="Q173" s="24"/>
      <c r="R173" s="24">
        <f>G173+K173+L173+O173</f>
        <v>20000</v>
      </c>
      <c r="S173" s="26">
        <f>R173*12</f>
        <v>240000</v>
      </c>
    </row>
    <row r="174" spans="1:20" s="13" customFormat="1" x14ac:dyDescent="0.25">
      <c r="A174" s="21" t="s">
        <v>259</v>
      </c>
      <c r="B174" s="22" t="s">
        <v>114</v>
      </c>
      <c r="C174" s="23">
        <v>0.5</v>
      </c>
      <c r="D174" s="23">
        <v>13</v>
      </c>
      <c r="E174" s="24">
        <f>7253*C174</f>
        <v>3626.5</v>
      </c>
      <c r="F174" s="23"/>
      <c r="G174" s="24">
        <f t="shared" si="72"/>
        <v>3626.5</v>
      </c>
      <c r="H174" s="24"/>
      <c r="I174" s="24"/>
      <c r="J174" s="24"/>
      <c r="K174" s="24">
        <f t="shared" ref="K174:K177" si="73">G174*0.3</f>
        <v>1087.95</v>
      </c>
      <c r="L174" s="24">
        <f>20000*C174-G174-K174</f>
        <v>5285.55</v>
      </c>
      <c r="M174" s="24"/>
      <c r="N174" s="24"/>
      <c r="O174" s="24"/>
      <c r="P174" s="24"/>
      <c r="Q174" s="24"/>
      <c r="R174" s="24">
        <f>G174+K174+L174+O174</f>
        <v>10000</v>
      </c>
      <c r="S174" s="26">
        <f t="shared" ref="S174:S179" si="74">R174*12</f>
        <v>120000</v>
      </c>
    </row>
    <row r="175" spans="1:20" x14ac:dyDescent="0.25">
      <c r="A175" s="21" t="s">
        <v>260</v>
      </c>
      <c r="B175" s="22" t="s">
        <v>174</v>
      </c>
      <c r="C175" s="23">
        <v>1</v>
      </c>
      <c r="D175" s="23">
        <v>11</v>
      </c>
      <c r="E175" s="24">
        <v>6294</v>
      </c>
      <c r="F175" s="23"/>
      <c r="G175" s="24">
        <f t="shared" si="72"/>
        <v>6294</v>
      </c>
      <c r="H175" s="24"/>
      <c r="I175" s="24"/>
      <c r="J175" s="24"/>
      <c r="K175" s="24">
        <f t="shared" si="73"/>
        <v>1888.1999999999998</v>
      </c>
      <c r="L175" s="24">
        <f>20000-G175-K175</f>
        <v>11817.8</v>
      </c>
      <c r="M175" s="24"/>
      <c r="N175" s="24"/>
      <c r="O175" s="24"/>
      <c r="P175" s="24"/>
      <c r="Q175" s="24"/>
      <c r="R175" s="24">
        <f>G175+K175+L175+O175</f>
        <v>20000</v>
      </c>
      <c r="S175" s="26">
        <f t="shared" si="74"/>
        <v>240000</v>
      </c>
    </row>
    <row r="176" spans="1:20" x14ac:dyDescent="0.25">
      <c r="A176" s="21" t="s">
        <v>261</v>
      </c>
      <c r="B176" s="22" t="s">
        <v>239</v>
      </c>
      <c r="C176" s="23">
        <v>1</v>
      </c>
      <c r="D176" s="23">
        <v>10</v>
      </c>
      <c r="E176" s="24">
        <v>5815</v>
      </c>
      <c r="F176" s="23"/>
      <c r="G176" s="24">
        <f t="shared" si="72"/>
        <v>5815</v>
      </c>
      <c r="H176" s="24"/>
      <c r="I176" s="24"/>
      <c r="J176" s="24"/>
      <c r="K176" s="24">
        <f t="shared" si="73"/>
        <v>1744.5</v>
      </c>
      <c r="L176" s="24">
        <f>13500-G176-K176</f>
        <v>5940.5</v>
      </c>
      <c r="M176" s="24"/>
      <c r="N176" s="24"/>
      <c r="O176" s="24"/>
      <c r="P176" s="24"/>
      <c r="Q176" s="24"/>
      <c r="R176" s="24">
        <f>G176+K176+L176</f>
        <v>13500</v>
      </c>
      <c r="S176" s="26">
        <f t="shared" si="74"/>
        <v>162000</v>
      </c>
    </row>
    <row r="177" spans="1:20" x14ac:dyDescent="0.25">
      <c r="A177" s="21" t="s">
        <v>262</v>
      </c>
      <c r="B177" s="22" t="s">
        <v>241</v>
      </c>
      <c r="C177" s="23">
        <v>2</v>
      </c>
      <c r="D177" s="23">
        <v>10</v>
      </c>
      <c r="E177" s="24">
        <f>5815*C177</f>
        <v>11630</v>
      </c>
      <c r="F177" s="23"/>
      <c r="G177" s="24">
        <f t="shared" si="72"/>
        <v>11630</v>
      </c>
      <c r="H177" s="24"/>
      <c r="I177" s="24"/>
      <c r="J177" s="24"/>
      <c r="K177" s="24">
        <f t="shared" si="73"/>
        <v>3489</v>
      </c>
      <c r="L177" s="24">
        <f>13500*C177-G177-K177</f>
        <v>11881</v>
      </c>
      <c r="M177" s="24"/>
      <c r="N177" s="24"/>
      <c r="O177" s="24"/>
      <c r="P177" s="24"/>
      <c r="Q177" s="24"/>
      <c r="R177" s="24">
        <f t="shared" ref="R177" si="75">G177+K177+L177</f>
        <v>27000</v>
      </c>
      <c r="S177" s="26">
        <f t="shared" si="74"/>
        <v>324000</v>
      </c>
    </row>
    <row r="178" spans="1:20" x14ac:dyDescent="0.25">
      <c r="A178" s="21" t="s">
        <v>263</v>
      </c>
      <c r="B178" s="22" t="s">
        <v>136</v>
      </c>
      <c r="C178" s="23">
        <v>1</v>
      </c>
      <c r="D178" s="23">
        <v>3</v>
      </c>
      <c r="E178" s="24">
        <v>3770</v>
      </c>
      <c r="F178" s="23"/>
      <c r="G178" s="24">
        <f t="shared" si="72"/>
        <v>3770</v>
      </c>
      <c r="H178" s="24"/>
      <c r="I178" s="24">
        <f>G178*0.1</f>
        <v>377</v>
      </c>
      <c r="J178" s="24"/>
      <c r="K178" s="24"/>
      <c r="L178" s="24"/>
      <c r="M178" s="24"/>
      <c r="N178" s="24"/>
      <c r="O178" s="24"/>
      <c r="P178" s="24">
        <f>8647-G178</f>
        <v>4877</v>
      </c>
      <c r="Q178" s="24"/>
      <c r="R178" s="24">
        <f>G178+I178+P178</f>
        <v>9024</v>
      </c>
      <c r="S178" s="26">
        <f t="shared" si="74"/>
        <v>108288</v>
      </c>
      <c r="T178" s="70"/>
    </row>
    <row r="179" spans="1:20" s="44" customFormat="1" x14ac:dyDescent="0.25">
      <c r="A179" s="21" t="s">
        <v>264</v>
      </c>
      <c r="B179" s="22" t="s">
        <v>250</v>
      </c>
      <c r="C179" s="23">
        <v>0.5</v>
      </c>
      <c r="D179" s="23">
        <v>5</v>
      </c>
      <c r="E179" s="24">
        <v>2172.5</v>
      </c>
      <c r="F179" s="23"/>
      <c r="G179" s="24">
        <f t="shared" si="72"/>
        <v>2172.5</v>
      </c>
      <c r="H179" s="24"/>
      <c r="I179" s="24"/>
      <c r="J179" s="24"/>
      <c r="K179" s="24"/>
      <c r="L179" s="24"/>
      <c r="M179" s="24"/>
      <c r="N179" s="24"/>
      <c r="O179" s="24"/>
      <c r="P179" s="24">
        <f>8647/2-G179</f>
        <v>2151</v>
      </c>
      <c r="Q179" s="24"/>
      <c r="R179" s="24">
        <f>SUM(G179:Q179)</f>
        <v>4323.5</v>
      </c>
      <c r="S179" s="26">
        <f t="shared" si="74"/>
        <v>51882</v>
      </c>
    </row>
    <row r="180" spans="1:20" s="66" customFormat="1" ht="45" customHeight="1" thickBot="1" x14ac:dyDescent="0.3">
      <c r="A180" s="28"/>
      <c r="B180" s="29" t="s">
        <v>58</v>
      </c>
      <c r="C180" s="30">
        <f>SUM(C173:C179)</f>
        <v>7</v>
      </c>
      <c r="D180" s="30"/>
      <c r="E180" s="31">
        <f>SUM(E173:E179)</f>
        <v>41040</v>
      </c>
      <c r="F180" s="30">
        <f>SUM(F173:F179)</f>
        <v>773.2</v>
      </c>
      <c r="G180" s="31">
        <f t="shared" si="72"/>
        <v>41813.199999999997</v>
      </c>
      <c r="H180" s="31"/>
      <c r="I180" s="31">
        <f>SUM(I178:I179)</f>
        <v>377</v>
      </c>
      <c r="J180" s="31"/>
      <c r="K180" s="31">
        <f>SUM(K173:K179)</f>
        <v>10761.21</v>
      </c>
      <c r="L180" s="31">
        <f>SUM(L173:L179)</f>
        <v>43868.09</v>
      </c>
      <c r="M180" s="31"/>
      <c r="N180" s="31"/>
      <c r="O180" s="31">
        <f>SUM(O173:O179)</f>
        <v>0</v>
      </c>
      <c r="P180" s="31">
        <f>SUM(P173:P179)</f>
        <v>7028</v>
      </c>
      <c r="Q180" s="31"/>
      <c r="R180" s="31">
        <f>SUM(R173:R179)</f>
        <v>103847.5</v>
      </c>
      <c r="S180" s="36">
        <f>SUM(S173:S179)</f>
        <v>1246170</v>
      </c>
    </row>
    <row r="181" spans="1:20" s="13" customFormat="1" ht="22.8" customHeight="1" x14ac:dyDescent="0.2">
      <c r="A181" s="17"/>
      <c r="B181" s="72" t="s">
        <v>265</v>
      </c>
      <c r="C181" s="37"/>
      <c r="D181" s="37"/>
      <c r="E181" s="38"/>
      <c r="F181" s="37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63"/>
    </row>
    <row r="182" spans="1:20" s="13" customFormat="1" x14ac:dyDescent="0.25">
      <c r="A182" s="21" t="s">
        <v>266</v>
      </c>
      <c r="B182" s="22" t="s">
        <v>213</v>
      </c>
      <c r="C182" s="23">
        <v>0.75</v>
      </c>
      <c r="D182" s="23">
        <v>14</v>
      </c>
      <c r="E182" s="24">
        <f>7732*C182</f>
        <v>5799</v>
      </c>
      <c r="F182" s="23">
        <f>E182*0.1</f>
        <v>579.9</v>
      </c>
      <c r="G182" s="24">
        <f t="shared" ref="G182:G185" si="76">E182+F182</f>
        <v>6378.9</v>
      </c>
      <c r="H182" s="24"/>
      <c r="I182" s="24"/>
      <c r="J182" s="24"/>
      <c r="K182" s="24"/>
      <c r="L182" s="24">
        <f>20000*C182-G182</f>
        <v>8621.1</v>
      </c>
      <c r="M182" s="24"/>
      <c r="N182" s="24"/>
      <c r="O182" s="24"/>
      <c r="P182" s="24"/>
      <c r="Q182" s="24"/>
      <c r="R182" s="24">
        <f>SUM(G182:Q182)</f>
        <v>15000</v>
      </c>
      <c r="S182" s="26">
        <f>R182*12</f>
        <v>180000</v>
      </c>
    </row>
    <row r="183" spans="1:20" x14ac:dyDescent="0.25">
      <c r="A183" s="21" t="s">
        <v>267</v>
      </c>
      <c r="B183" s="22" t="s">
        <v>241</v>
      </c>
      <c r="C183" s="23">
        <v>1</v>
      </c>
      <c r="D183" s="23">
        <v>10</v>
      </c>
      <c r="E183" s="24">
        <v>5815</v>
      </c>
      <c r="F183" s="23"/>
      <c r="G183" s="24">
        <f t="shared" si="76"/>
        <v>5815</v>
      </c>
      <c r="H183" s="24"/>
      <c r="I183" s="24"/>
      <c r="J183" s="24"/>
      <c r="K183" s="24">
        <f>G183*0.3</f>
        <v>1744.5</v>
      </c>
      <c r="L183" s="24">
        <f>13500-G183-K183</f>
        <v>5940.5</v>
      </c>
      <c r="M183" s="24"/>
      <c r="N183" s="24"/>
      <c r="O183" s="24"/>
      <c r="P183" s="24"/>
      <c r="Q183" s="24"/>
      <c r="R183" s="24">
        <f>G183+K183+L183</f>
        <v>13500</v>
      </c>
      <c r="S183" s="26">
        <f t="shared" ref="S183:S184" si="77">R183*12</f>
        <v>162000</v>
      </c>
      <c r="T183" s="70"/>
    </row>
    <row r="184" spans="1:20" s="44" customFormat="1" x14ac:dyDescent="0.25">
      <c r="A184" s="21" t="s">
        <v>268</v>
      </c>
      <c r="B184" s="22" t="s">
        <v>136</v>
      </c>
      <c r="C184" s="23">
        <v>1</v>
      </c>
      <c r="D184" s="23">
        <v>3</v>
      </c>
      <c r="E184" s="24">
        <v>3770</v>
      </c>
      <c r="F184" s="23"/>
      <c r="G184" s="24">
        <f t="shared" si="76"/>
        <v>3770</v>
      </c>
      <c r="H184" s="24"/>
      <c r="I184" s="24">
        <f>G184*0.1</f>
        <v>377</v>
      </c>
      <c r="J184" s="24"/>
      <c r="K184" s="24"/>
      <c r="L184" s="24"/>
      <c r="M184" s="24"/>
      <c r="N184" s="24"/>
      <c r="O184" s="24"/>
      <c r="P184" s="24">
        <f>8647-G184</f>
        <v>4877</v>
      </c>
      <c r="Q184" s="24"/>
      <c r="R184" s="24">
        <f>G184+I184+P184</f>
        <v>9024</v>
      </c>
      <c r="S184" s="26">
        <f t="shared" si="77"/>
        <v>108288</v>
      </c>
    </row>
    <row r="185" spans="1:20" s="66" customFormat="1" ht="23.4" customHeight="1" thickBot="1" x14ac:dyDescent="0.3">
      <c r="A185" s="28"/>
      <c r="B185" s="29" t="s">
        <v>58</v>
      </c>
      <c r="C185" s="30">
        <f>SUM(C182:C184)</f>
        <v>2.75</v>
      </c>
      <c r="D185" s="30"/>
      <c r="E185" s="31">
        <f>SUM(E182:E184)</f>
        <v>15384</v>
      </c>
      <c r="F185" s="30">
        <f>SUM(F182:F184)</f>
        <v>579.9</v>
      </c>
      <c r="G185" s="31">
        <f t="shared" si="76"/>
        <v>15963.9</v>
      </c>
      <c r="H185" s="31"/>
      <c r="I185" s="31">
        <f>SUM(I184)</f>
        <v>377</v>
      </c>
      <c r="J185" s="31"/>
      <c r="K185" s="31">
        <f>K183</f>
        <v>1744.5</v>
      </c>
      <c r="L185" s="31">
        <f>L182+L183</f>
        <v>14561.6</v>
      </c>
      <c r="M185" s="31">
        <f>M182</f>
        <v>0</v>
      </c>
      <c r="N185" s="31"/>
      <c r="O185" s="31"/>
      <c r="P185" s="31">
        <f>SUM(P184)</f>
        <v>4877</v>
      </c>
      <c r="Q185" s="31"/>
      <c r="R185" s="31">
        <f>SUM(R182:R184)</f>
        <v>37524</v>
      </c>
      <c r="S185" s="36">
        <f>SUM(S182:S184)</f>
        <v>450288</v>
      </c>
    </row>
    <row r="186" spans="1:20" ht="21" customHeight="1" x14ac:dyDescent="0.25">
      <c r="A186" s="82"/>
      <c r="B186" s="72" t="s">
        <v>269</v>
      </c>
      <c r="C186" s="37"/>
      <c r="D186" s="37"/>
      <c r="E186" s="38"/>
      <c r="F186" s="37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63"/>
    </row>
    <row r="187" spans="1:20" ht="24.6" customHeight="1" x14ac:dyDescent="0.25">
      <c r="A187" s="21"/>
      <c r="B187" s="102" t="s">
        <v>270</v>
      </c>
      <c r="C187" s="23"/>
      <c r="D187" s="23"/>
      <c r="E187" s="24"/>
      <c r="F187" s="23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6"/>
    </row>
    <row r="188" spans="1:20" x14ac:dyDescent="0.25">
      <c r="A188" s="21" t="s">
        <v>268</v>
      </c>
      <c r="B188" s="22" t="s">
        <v>271</v>
      </c>
      <c r="C188" s="23">
        <v>0.5</v>
      </c>
      <c r="D188" s="23">
        <v>10</v>
      </c>
      <c r="E188" s="24">
        <v>2907.5</v>
      </c>
      <c r="F188" s="23"/>
      <c r="G188" s="24">
        <f t="shared" ref="G188:G191" si="78">E188+F188</f>
        <v>2907.5</v>
      </c>
      <c r="H188" s="24"/>
      <c r="I188" s="24"/>
      <c r="J188" s="24"/>
      <c r="K188" s="24">
        <f>G188*0.3</f>
        <v>872.25</v>
      </c>
      <c r="L188" s="24">
        <f>R188-K188-G188</f>
        <v>2970.25</v>
      </c>
      <c r="M188" s="24"/>
      <c r="N188" s="24"/>
      <c r="O188" s="24"/>
      <c r="P188" s="24"/>
      <c r="Q188" s="24"/>
      <c r="R188" s="24">
        <v>6750</v>
      </c>
      <c r="S188" s="26">
        <f>R188*12</f>
        <v>81000</v>
      </c>
    </row>
    <row r="189" spans="1:20" x14ac:dyDescent="0.25">
      <c r="A189" s="21" t="s">
        <v>272</v>
      </c>
      <c r="B189" s="22" t="s">
        <v>136</v>
      </c>
      <c r="C189" s="23">
        <v>0.25</v>
      </c>
      <c r="D189" s="23">
        <v>3</v>
      </c>
      <c r="E189" s="24">
        <v>942.5</v>
      </c>
      <c r="F189" s="23"/>
      <c r="G189" s="24">
        <f t="shared" si="78"/>
        <v>942.5</v>
      </c>
      <c r="H189" s="24"/>
      <c r="I189" s="24">
        <f>G189*0.1</f>
        <v>94.25</v>
      </c>
      <c r="J189" s="24"/>
      <c r="K189" s="24"/>
      <c r="L189" s="24"/>
      <c r="M189" s="24"/>
      <c r="N189" s="24"/>
      <c r="O189" s="24"/>
      <c r="P189" s="24">
        <f>8647*0.25-G189</f>
        <v>1219.25</v>
      </c>
      <c r="Q189" s="24"/>
      <c r="R189" s="24">
        <f>E189+I189+P189</f>
        <v>2256</v>
      </c>
      <c r="S189" s="26">
        <f>R189*12</f>
        <v>27072</v>
      </c>
    </row>
    <row r="190" spans="1:20" s="44" customFormat="1" x14ac:dyDescent="0.25">
      <c r="A190" s="21" t="s">
        <v>273</v>
      </c>
      <c r="B190" s="22" t="s">
        <v>274</v>
      </c>
      <c r="C190" s="23">
        <v>0.25</v>
      </c>
      <c r="D190" s="23">
        <v>1</v>
      </c>
      <c r="E190" s="24">
        <v>798.75</v>
      </c>
      <c r="F190" s="23"/>
      <c r="G190" s="24">
        <f t="shared" si="78"/>
        <v>798.75</v>
      </c>
      <c r="H190" s="24"/>
      <c r="I190" s="24"/>
      <c r="J190" s="24"/>
      <c r="K190" s="24"/>
      <c r="L190" s="24"/>
      <c r="M190" s="24"/>
      <c r="N190" s="24"/>
      <c r="O190" s="24"/>
      <c r="P190" s="24">
        <f>8647*0.25-G190</f>
        <v>1363</v>
      </c>
      <c r="Q190" s="24"/>
      <c r="R190" s="24">
        <f>E190+P190</f>
        <v>2161.75</v>
      </c>
      <c r="S190" s="26">
        <f>R190*6</f>
        <v>12970.5</v>
      </c>
    </row>
    <row r="191" spans="1:20" s="33" customFormat="1" ht="24" customHeight="1" thickBot="1" x14ac:dyDescent="0.3">
      <c r="A191" s="77"/>
      <c r="B191" s="78" t="s">
        <v>58</v>
      </c>
      <c r="C191" s="79">
        <f>C188+C189+C190</f>
        <v>1</v>
      </c>
      <c r="D191" s="79"/>
      <c r="E191" s="80">
        <f>E188+E189+E190</f>
        <v>4648.75</v>
      </c>
      <c r="F191" s="79"/>
      <c r="G191" s="80">
        <f t="shared" si="78"/>
        <v>4648.75</v>
      </c>
      <c r="H191" s="80"/>
      <c r="I191" s="80">
        <f>SUM(I189)</f>
        <v>94.25</v>
      </c>
      <c r="J191" s="80"/>
      <c r="K191" s="80">
        <f>SUM(K188:K189)</f>
        <v>872.25</v>
      </c>
      <c r="L191" s="80">
        <f>SUM(L188:L189)</f>
        <v>2970.25</v>
      </c>
      <c r="M191" s="80"/>
      <c r="N191" s="80"/>
      <c r="O191" s="80"/>
      <c r="P191" s="80">
        <f>P189+P190</f>
        <v>2582.25</v>
      </c>
      <c r="Q191" s="80"/>
      <c r="R191" s="80">
        <f>SUM(R188:R190)</f>
        <v>11167.75</v>
      </c>
      <c r="S191" s="81">
        <f>SUM(S188:S190)</f>
        <v>121042.5</v>
      </c>
    </row>
    <row r="192" spans="1:20" s="13" customFormat="1" ht="20.399999999999999" customHeight="1" x14ac:dyDescent="0.2">
      <c r="A192" s="17"/>
      <c r="B192" s="72" t="s">
        <v>275</v>
      </c>
      <c r="C192" s="37"/>
      <c r="D192" s="37"/>
      <c r="E192" s="38"/>
      <c r="F192" s="37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63"/>
    </row>
    <row r="193" spans="1:20" x14ac:dyDescent="0.25">
      <c r="A193" s="21" t="s">
        <v>276</v>
      </c>
      <c r="B193" s="22" t="s">
        <v>271</v>
      </c>
      <c r="C193" s="23">
        <v>0.5</v>
      </c>
      <c r="D193" s="23">
        <v>9</v>
      </c>
      <c r="E193" s="24">
        <v>2763.5</v>
      </c>
      <c r="F193" s="23"/>
      <c r="G193" s="24">
        <f t="shared" ref="G193:G196" si="79">E193+F193</f>
        <v>2763.5</v>
      </c>
      <c r="H193" s="24"/>
      <c r="I193" s="24"/>
      <c r="J193" s="24"/>
      <c r="K193" s="24">
        <f>G193*0.3</f>
        <v>829.05</v>
      </c>
      <c r="L193" s="24">
        <f>6750-G193-K193</f>
        <v>3157.45</v>
      </c>
      <c r="M193" s="24"/>
      <c r="N193" s="24"/>
      <c r="O193" s="24"/>
      <c r="P193" s="24"/>
      <c r="Q193" s="24"/>
      <c r="R193" s="24">
        <f>G193+K193+L193</f>
        <v>6750</v>
      </c>
      <c r="S193" s="26">
        <f>R193*12</f>
        <v>81000</v>
      </c>
    </row>
    <row r="194" spans="1:20" x14ac:dyDescent="0.25">
      <c r="A194" s="21" t="s">
        <v>277</v>
      </c>
      <c r="B194" s="22" t="s">
        <v>136</v>
      </c>
      <c r="C194" s="23">
        <v>0.25</v>
      </c>
      <c r="D194" s="23">
        <v>3</v>
      </c>
      <c r="E194" s="24">
        <v>942.5</v>
      </c>
      <c r="F194" s="23"/>
      <c r="G194" s="24">
        <f t="shared" si="79"/>
        <v>942.5</v>
      </c>
      <c r="H194" s="24"/>
      <c r="I194" s="24">
        <f>G194*0.1</f>
        <v>94.25</v>
      </c>
      <c r="J194" s="24"/>
      <c r="K194" s="24"/>
      <c r="L194" s="24"/>
      <c r="M194" s="24"/>
      <c r="N194" s="24"/>
      <c r="O194" s="24"/>
      <c r="P194" s="24">
        <f>8647*0.25-G194</f>
        <v>1219.25</v>
      </c>
      <c r="Q194" s="24"/>
      <c r="R194" s="24">
        <f>E194+I194+P194</f>
        <v>2256</v>
      </c>
      <c r="S194" s="26">
        <f>R194*12</f>
        <v>27072</v>
      </c>
    </row>
    <row r="195" spans="1:20" s="44" customFormat="1" x14ac:dyDescent="0.25">
      <c r="A195" s="21" t="s">
        <v>278</v>
      </c>
      <c r="B195" s="22" t="s">
        <v>232</v>
      </c>
      <c r="C195" s="23">
        <v>0.5</v>
      </c>
      <c r="D195" s="23">
        <v>1</v>
      </c>
      <c r="E195" s="24">
        <v>1597.5</v>
      </c>
      <c r="F195" s="23"/>
      <c r="G195" s="24">
        <f t="shared" si="79"/>
        <v>1597.5</v>
      </c>
      <c r="H195" s="24"/>
      <c r="I195" s="24"/>
      <c r="J195" s="24"/>
      <c r="K195" s="24"/>
      <c r="L195" s="24"/>
      <c r="M195" s="24"/>
      <c r="N195" s="24"/>
      <c r="O195" s="24"/>
      <c r="P195" s="24">
        <f>8647/2-G195</f>
        <v>2726</v>
      </c>
      <c r="Q195" s="24"/>
      <c r="R195" s="24">
        <f>E195+P195</f>
        <v>4323.5</v>
      </c>
      <c r="S195" s="26">
        <f>R195*6</f>
        <v>25941</v>
      </c>
    </row>
    <row r="196" spans="1:20" s="33" customFormat="1" ht="27.6" customHeight="1" thickBot="1" x14ac:dyDescent="0.3">
      <c r="A196" s="28"/>
      <c r="B196" s="29" t="s">
        <v>58</v>
      </c>
      <c r="C196" s="30">
        <f>C193+C194+C195</f>
        <v>1.25</v>
      </c>
      <c r="D196" s="30"/>
      <c r="E196" s="31">
        <f>E193+E194+E195</f>
        <v>5303.5</v>
      </c>
      <c r="F196" s="30"/>
      <c r="G196" s="31">
        <f t="shared" si="79"/>
        <v>5303.5</v>
      </c>
      <c r="H196" s="31"/>
      <c r="I196" s="31">
        <f>SUM(I193:I194)</f>
        <v>94.25</v>
      </c>
      <c r="J196" s="31"/>
      <c r="K196" s="31">
        <f>SUM(K193:K195)</f>
        <v>829.05</v>
      </c>
      <c r="L196" s="31">
        <f>SUM(L192:L194)</f>
        <v>3157.45</v>
      </c>
      <c r="M196" s="31"/>
      <c r="N196" s="31"/>
      <c r="O196" s="31"/>
      <c r="P196" s="31">
        <f>P194+P195</f>
        <v>3945.25</v>
      </c>
      <c r="Q196" s="31"/>
      <c r="R196" s="31">
        <f>SUM(R193:R195)</f>
        <v>13329.5</v>
      </c>
      <c r="S196" s="36">
        <f>SUM(S193:S195)</f>
        <v>134013</v>
      </c>
    </row>
    <row r="197" spans="1:20" ht="22.8" customHeight="1" x14ac:dyDescent="0.25">
      <c r="A197" s="97"/>
      <c r="B197" s="103" t="s">
        <v>279</v>
      </c>
      <c r="C197" s="104"/>
      <c r="D197" s="104"/>
      <c r="E197" s="105"/>
      <c r="F197" s="104"/>
      <c r="G197" s="105"/>
      <c r="H197" s="105"/>
      <c r="I197" s="105"/>
      <c r="J197" s="105"/>
      <c r="K197" s="105"/>
      <c r="L197" s="105"/>
      <c r="M197" s="105"/>
      <c r="N197" s="105"/>
      <c r="O197" s="105"/>
      <c r="P197" s="105"/>
      <c r="Q197" s="105"/>
      <c r="R197" s="105"/>
      <c r="S197" s="106"/>
      <c r="T197" s="107"/>
    </row>
    <row r="198" spans="1:20" x14ac:dyDescent="0.25">
      <c r="A198" s="21" t="s">
        <v>280</v>
      </c>
      <c r="B198" s="22" t="s">
        <v>132</v>
      </c>
      <c r="C198" s="23">
        <v>1</v>
      </c>
      <c r="D198" s="23">
        <v>10</v>
      </c>
      <c r="E198" s="24">
        <v>5815</v>
      </c>
      <c r="F198" s="23"/>
      <c r="G198" s="24">
        <f t="shared" ref="G198:G201" si="80">E198+F198</f>
        <v>5815</v>
      </c>
      <c r="H198" s="24"/>
      <c r="I198" s="24"/>
      <c r="J198" s="24"/>
      <c r="K198" s="24">
        <f>G198*0.3</f>
        <v>1744.5</v>
      </c>
      <c r="L198" s="24">
        <f>13500-G198-K198</f>
        <v>5940.5</v>
      </c>
      <c r="M198" s="24"/>
      <c r="N198" s="24"/>
      <c r="O198" s="24"/>
      <c r="P198" s="24"/>
      <c r="Q198" s="24"/>
      <c r="R198" s="24">
        <f>G198+K198+L198</f>
        <v>13500</v>
      </c>
      <c r="S198" s="26">
        <f>R198*12</f>
        <v>162000</v>
      </c>
    </row>
    <row r="199" spans="1:20" x14ac:dyDescent="0.25">
      <c r="A199" s="21" t="s">
        <v>281</v>
      </c>
      <c r="B199" s="22" t="s">
        <v>136</v>
      </c>
      <c r="C199" s="23">
        <v>0.25</v>
      </c>
      <c r="D199" s="23">
        <v>3</v>
      </c>
      <c r="E199" s="24">
        <v>942.5</v>
      </c>
      <c r="F199" s="23"/>
      <c r="G199" s="24">
        <f t="shared" si="80"/>
        <v>942.5</v>
      </c>
      <c r="H199" s="24"/>
      <c r="I199" s="24">
        <f>G199*0.1</f>
        <v>94.25</v>
      </c>
      <c r="J199" s="24"/>
      <c r="K199" s="24"/>
      <c r="L199" s="24"/>
      <c r="M199" s="24"/>
      <c r="N199" s="24"/>
      <c r="O199" s="24"/>
      <c r="P199" s="24">
        <f>8647*0.25-G199</f>
        <v>1219.25</v>
      </c>
      <c r="Q199" s="24"/>
      <c r="R199" s="24">
        <f>E199+I199+P199</f>
        <v>2256</v>
      </c>
      <c r="S199" s="26">
        <f>R199*12</f>
        <v>27072</v>
      </c>
    </row>
    <row r="200" spans="1:20" s="44" customFormat="1" x14ac:dyDescent="0.25">
      <c r="A200" s="21" t="s">
        <v>282</v>
      </c>
      <c r="B200" s="22" t="s">
        <v>274</v>
      </c>
      <c r="C200" s="23">
        <v>0.25</v>
      </c>
      <c r="D200" s="23">
        <v>1</v>
      </c>
      <c r="E200" s="24">
        <v>798.75</v>
      </c>
      <c r="F200" s="23"/>
      <c r="G200" s="24">
        <f t="shared" si="80"/>
        <v>798.75</v>
      </c>
      <c r="H200" s="24"/>
      <c r="I200" s="24"/>
      <c r="J200" s="24"/>
      <c r="K200" s="24"/>
      <c r="L200" s="24"/>
      <c r="M200" s="24"/>
      <c r="N200" s="24"/>
      <c r="O200" s="24"/>
      <c r="P200" s="24">
        <f>8647*0.25-G200</f>
        <v>1363</v>
      </c>
      <c r="Q200" s="24"/>
      <c r="R200" s="24">
        <f>E200+P200</f>
        <v>2161.75</v>
      </c>
      <c r="S200" s="26">
        <f>R200*6</f>
        <v>12970.5</v>
      </c>
    </row>
    <row r="201" spans="1:20" s="33" customFormat="1" ht="26.4" customHeight="1" thickBot="1" x14ac:dyDescent="0.3">
      <c r="A201" s="28"/>
      <c r="B201" s="29" t="s">
        <v>58</v>
      </c>
      <c r="C201" s="30">
        <f>SUM(C198:C200)</f>
        <v>1.5</v>
      </c>
      <c r="D201" s="30"/>
      <c r="E201" s="31">
        <f>SUM(E198:E200)</f>
        <v>7556.25</v>
      </c>
      <c r="F201" s="30">
        <f>SUM(F198:F200)</f>
        <v>0</v>
      </c>
      <c r="G201" s="31">
        <f t="shared" si="80"/>
        <v>7556.25</v>
      </c>
      <c r="H201" s="31"/>
      <c r="I201" s="31">
        <f>SUM(I199:I200)</f>
        <v>94.25</v>
      </c>
      <c r="J201" s="31"/>
      <c r="K201" s="31">
        <f>SUM(K198:K200)</f>
        <v>1744.5</v>
      </c>
      <c r="L201" s="31">
        <f>SUM(L198:L200)</f>
        <v>5940.5</v>
      </c>
      <c r="M201" s="31"/>
      <c r="N201" s="31"/>
      <c r="O201" s="31"/>
      <c r="P201" s="31">
        <f>P199+P200</f>
        <v>2582.25</v>
      </c>
      <c r="Q201" s="31"/>
      <c r="R201" s="31">
        <f>SUM(R198:R200)</f>
        <v>17917.75</v>
      </c>
      <c r="S201" s="36">
        <f>SUM(S198:S200)</f>
        <v>202042.5</v>
      </c>
    </row>
    <row r="202" spans="1:20" ht="22.2" customHeight="1" x14ac:dyDescent="0.25">
      <c r="A202" s="82"/>
      <c r="B202" s="72" t="s">
        <v>283</v>
      </c>
      <c r="C202" s="37"/>
      <c r="D202" s="37"/>
      <c r="E202" s="38"/>
      <c r="F202" s="37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63"/>
    </row>
    <row r="203" spans="1:20" x14ac:dyDescent="0.25">
      <c r="A203" s="21" t="s">
        <v>284</v>
      </c>
      <c r="B203" s="22" t="s">
        <v>271</v>
      </c>
      <c r="C203" s="23">
        <v>1</v>
      </c>
      <c r="D203" s="23">
        <v>10</v>
      </c>
      <c r="E203" s="24">
        <v>5815</v>
      </c>
      <c r="F203" s="23"/>
      <c r="G203" s="24">
        <f t="shared" ref="G203:G206" si="81">E203+F203</f>
        <v>5815</v>
      </c>
      <c r="H203" s="24"/>
      <c r="I203" s="24"/>
      <c r="J203" s="24"/>
      <c r="K203" s="24">
        <f>G203*0.3</f>
        <v>1744.5</v>
      </c>
      <c r="L203" s="24">
        <f>13500-G203-K203</f>
        <v>5940.5</v>
      </c>
      <c r="M203" s="24"/>
      <c r="N203" s="24"/>
      <c r="O203" s="24"/>
      <c r="P203" s="24"/>
      <c r="Q203" s="24"/>
      <c r="R203" s="24">
        <f>G203+K203+L203</f>
        <v>13500</v>
      </c>
      <c r="S203" s="26">
        <f>R203*12</f>
        <v>162000</v>
      </c>
    </row>
    <row r="204" spans="1:20" x14ac:dyDescent="0.25">
      <c r="A204" s="21" t="s">
        <v>285</v>
      </c>
      <c r="B204" s="22" t="s">
        <v>136</v>
      </c>
      <c r="C204" s="23">
        <v>0.25</v>
      </c>
      <c r="D204" s="23">
        <v>3</v>
      </c>
      <c r="E204" s="24">
        <v>942.5</v>
      </c>
      <c r="F204" s="23"/>
      <c r="G204" s="24">
        <f t="shared" si="81"/>
        <v>942.5</v>
      </c>
      <c r="H204" s="24"/>
      <c r="I204" s="24">
        <f>G204*0.1</f>
        <v>94.25</v>
      </c>
      <c r="J204" s="24"/>
      <c r="K204" s="24"/>
      <c r="L204" s="24"/>
      <c r="M204" s="24"/>
      <c r="N204" s="24"/>
      <c r="O204" s="24"/>
      <c r="P204" s="24">
        <f>8647*0.25-G204</f>
        <v>1219.25</v>
      </c>
      <c r="Q204" s="24"/>
      <c r="R204" s="24">
        <f>E204+I204+P204</f>
        <v>2256</v>
      </c>
      <c r="S204" s="26">
        <f>R204*12</f>
        <v>27072</v>
      </c>
    </row>
    <row r="205" spans="1:20" s="44" customFormat="1" x14ac:dyDescent="0.25">
      <c r="A205" s="21" t="s">
        <v>286</v>
      </c>
      <c r="B205" s="22" t="s">
        <v>274</v>
      </c>
      <c r="C205" s="23">
        <v>0.25</v>
      </c>
      <c r="D205" s="23">
        <v>1</v>
      </c>
      <c r="E205" s="24">
        <v>798.75</v>
      </c>
      <c r="F205" s="23"/>
      <c r="G205" s="24">
        <f t="shared" si="81"/>
        <v>798.75</v>
      </c>
      <c r="H205" s="24"/>
      <c r="I205" s="24"/>
      <c r="J205" s="24"/>
      <c r="K205" s="24"/>
      <c r="L205" s="24"/>
      <c r="M205" s="24"/>
      <c r="N205" s="24"/>
      <c r="O205" s="24"/>
      <c r="P205" s="24">
        <f>8647*0.25-G205</f>
        <v>1363</v>
      </c>
      <c r="Q205" s="24"/>
      <c r="R205" s="24">
        <f>E205+P205</f>
        <v>2161.75</v>
      </c>
      <c r="S205" s="26">
        <f>R205*6</f>
        <v>12970.5</v>
      </c>
    </row>
    <row r="206" spans="1:20" s="33" customFormat="1" ht="28.2" customHeight="1" thickBot="1" x14ac:dyDescent="0.3">
      <c r="A206" s="28"/>
      <c r="B206" s="29" t="s">
        <v>58</v>
      </c>
      <c r="C206" s="30">
        <f>SUM(C203:C205)</f>
        <v>1.5</v>
      </c>
      <c r="D206" s="30"/>
      <c r="E206" s="31">
        <f>SUM(E203:E205)</f>
        <v>7556.25</v>
      </c>
      <c r="F206" s="30">
        <f>SUM(F203:F205)</f>
        <v>0</v>
      </c>
      <c r="G206" s="31">
        <f t="shared" si="81"/>
        <v>7556.25</v>
      </c>
      <c r="H206" s="31"/>
      <c r="I206" s="31">
        <f>SUM(I204:I205)</f>
        <v>94.25</v>
      </c>
      <c r="J206" s="31"/>
      <c r="K206" s="31">
        <f>K203</f>
        <v>1744.5</v>
      </c>
      <c r="L206" s="31">
        <f>SUM(L203:L205)</f>
        <v>5940.5</v>
      </c>
      <c r="M206" s="31"/>
      <c r="N206" s="31"/>
      <c r="O206" s="31"/>
      <c r="P206" s="31">
        <f>P204+P205</f>
        <v>2582.25</v>
      </c>
      <c r="Q206" s="31"/>
      <c r="R206" s="31">
        <f>SUM(R203:R205)</f>
        <v>17917.75</v>
      </c>
      <c r="S206" s="36">
        <f>SUM(S203:S205)</f>
        <v>202042.5</v>
      </c>
    </row>
    <row r="207" spans="1:20" ht="24" customHeight="1" x14ac:dyDescent="0.25">
      <c r="A207" s="82"/>
      <c r="B207" s="72" t="s">
        <v>287</v>
      </c>
      <c r="C207" s="37"/>
      <c r="D207" s="37"/>
      <c r="E207" s="38"/>
      <c r="F207" s="37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63"/>
    </row>
    <row r="208" spans="1:20" x14ac:dyDescent="0.25">
      <c r="A208" s="21" t="s">
        <v>288</v>
      </c>
      <c r="B208" s="22" t="s">
        <v>132</v>
      </c>
      <c r="C208" s="23">
        <v>0.5</v>
      </c>
      <c r="D208" s="23">
        <v>8</v>
      </c>
      <c r="E208" s="24">
        <v>2620</v>
      </c>
      <c r="F208" s="23"/>
      <c r="G208" s="24">
        <f t="shared" ref="G208:G210" si="82">E208+F208</f>
        <v>2620</v>
      </c>
      <c r="H208" s="24"/>
      <c r="I208" s="24"/>
      <c r="J208" s="24"/>
      <c r="K208" s="24">
        <f>G208*0.3</f>
        <v>786</v>
      </c>
      <c r="L208" s="24">
        <f>R208-K208-G208</f>
        <v>3344</v>
      </c>
      <c r="M208" s="24"/>
      <c r="N208" s="24"/>
      <c r="O208" s="24"/>
      <c r="P208" s="24"/>
      <c r="Q208" s="24"/>
      <c r="R208" s="24">
        <v>6750</v>
      </c>
      <c r="S208" s="26">
        <f>R208*12</f>
        <v>81000</v>
      </c>
    </row>
    <row r="209" spans="1:20" s="44" customFormat="1" x14ac:dyDescent="0.25">
      <c r="A209" s="21" t="s">
        <v>289</v>
      </c>
      <c r="B209" s="22" t="s">
        <v>136</v>
      </c>
      <c r="C209" s="23">
        <v>0.5</v>
      </c>
      <c r="D209" s="23">
        <v>3</v>
      </c>
      <c r="E209" s="24">
        <v>1885</v>
      </c>
      <c r="F209" s="23"/>
      <c r="G209" s="24">
        <f t="shared" si="82"/>
        <v>1885</v>
      </c>
      <c r="H209" s="24"/>
      <c r="I209" s="24">
        <f>G209*0.1</f>
        <v>188.5</v>
      </c>
      <c r="J209" s="24"/>
      <c r="K209" s="24"/>
      <c r="L209" s="24"/>
      <c r="M209" s="24"/>
      <c r="N209" s="24"/>
      <c r="O209" s="24"/>
      <c r="P209" s="24">
        <f>8647/2-G209</f>
        <v>2438.5</v>
      </c>
      <c r="Q209" s="24"/>
      <c r="R209" s="24">
        <f>SUM(G209:Q209)</f>
        <v>4512</v>
      </c>
      <c r="S209" s="26">
        <f>R209*12</f>
        <v>54144</v>
      </c>
    </row>
    <row r="210" spans="1:20" s="33" customFormat="1" ht="25.8" customHeight="1" thickBot="1" x14ac:dyDescent="0.3">
      <c r="A210" s="28"/>
      <c r="B210" s="29" t="s">
        <v>58</v>
      </c>
      <c r="C210" s="30">
        <f>SUM(C208:C209)</f>
        <v>1</v>
      </c>
      <c r="D210" s="30"/>
      <c r="E210" s="31">
        <f>SUM(E208:E209)</f>
        <v>4505</v>
      </c>
      <c r="F210" s="30">
        <f>SUM(F208:F209)</f>
        <v>0</v>
      </c>
      <c r="G210" s="31">
        <f t="shared" si="82"/>
        <v>4505</v>
      </c>
      <c r="H210" s="31"/>
      <c r="I210" s="31">
        <f>SUM(I209)</f>
        <v>188.5</v>
      </c>
      <c r="J210" s="31"/>
      <c r="K210" s="31">
        <f>SUM(K208:K209)</f>
        <v>786</v>
      </c>
      <c r="L210" s="31">
        <f>SUM(L208:L209)</f>
        <v>3344</v>
      </c>
      <c r="M210" s="31"/>
      <c r="N210" s="31"/>
      <c r="O210" s="31"/>
      <c r="P210" s="31">
        <f>SUM(P209)</f>
        <v>2438.5</v>
      </c>
      <c r="Q210" s="31"/>
      <c r="R210" s="31">
        <f>SUM(R208:R209)</f>
        <v>11262</v>
      </c>
      <c r="S210" s="36">
        <f>SUM(S208:S209)</f>
        <v>135144</v>
      </c>
    </row>
    <row r="211" spans="1:20" ht="22.2" customHeight="1" x14ac:dyDescent="0.25">
      <c r="A211" s="82"/>
      <c r="B211" s="72" t="s">
        <v>290</v>
      </c>
      <c r="C211" s="37"/>
      <c r="D211" s="37"/>
      <c r="E211" s="38"/>
      <c r="F211" s="37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63"/>
    </row>
    <row r="212" spans="1:20" s="13" customFormat="1" x14ac:dyDescent="0.25">
      <c r="A212" s="21" t="s">
        <v>291</v>
      </c>
      <c r="B212" s="108" t="s">
        <v>132</v>
      </c>
      <c r="C212" s="23">
        <v>0.5</v>
      </c>
      <c r="D212" s="23">
        <v>10</v>
      </c>
      <c r="E212" s="24">
        <v>2907.5</v>
      </c>
      <c r="F212" s="23"/>
      <c r="G212" s="24">
        <f t="shared" ref="G212:G215" si="83">E212+F212</f>
        <v>2907.5</v>
      </c>
      <c r="H212" s="24"/>
      <c r="I212" s="24"/>
      <c r="J212" s="24"/>
      <c r="K212" s="24">
        <f>G212*0.3</f>
        <v>872.25</v>
      </c>
      <c r="L212" s="24">
        <f>13500/2-G212-K212</f>
        <v>2970.25</v>
      </c>
      <c r="M212" s="24"/>
      <c r="N212" s="24"/>
      <c r="O212" s="24"/>
      <c r="P212" s="24"/>
      <c r="Q212" s="24"/>
      <c r="R212" s="24">
        <f>G212+K212+L212</f>
        <v>6750</v>
      </c>
      <c r="S212" s="26">
        <f>R212*12</f>
        <v>81000</v>
      </c>
    </row>
    <row r="213" spans="1:20" x14ac:dyDescent="0.25">
      <c r="A213" s="21" t="s">
        <v>292</v>
      </c>
      <c r="B213" s="22" t="s">
        <v>136</v>
      </c>
      <c r="C213" s="23">
        <v>0.5</v>
      </c>
      <c r="D213" s="23">
        <v>3</v>
      </c>
      <c r="E213" s="24">
        <v>1885</v>
      </c>
      <c r="F213" s="23"/>
      <c r="G213" s="24">
        <f t="shared" si="83"/>
        <v>1885</v>
      </c>
      <c r="H213" s="24"/>
      <c r="I213" s="24">
        <f>G213*0.1</f>
        <v>188.5</v>
      </c>
      <c r="J213" s="24"/>
      <c r="K213" s="24"/>
      <c r="L213" s="24"/>
      <c r="M213" s="24"/>
      <c r="N213" s="24"/>
      <c r="O213" s="24"/>
      <c r="P213" s="24">
        <f>8647/2-G213</f>
        <v>2438.5</v>
      </c>
      <c r="Q213" s="24"/>
      <c r="R213" s="24">
        <f>SUM(G213:Q213)</f>
        <v>4512</v>
      </c>
      <c r="S213" s="26">
        <f>R213*12</f>
        <v>54144</v>
      </c>
    </row>
    <row r="214" spans="1:20" x14ac:dyDescent="0.25">
      <c r="A214" s="21" t="s">
        <v>293</v>
      </c>
      <c r="B214" s="22" t="s">
        <v>232</v>
      </c>
      <c r="C214" s="23">
        <v>1</v>
      </c>
      <c r="D214" s="23">
        <v>1</v>
      </c>
      <c r="E214" s="24">
        <v>3195</v>
      </c>
      <c r="F214" s="23"/>
      <c r="G214" s="24">
        <f t="shared" si="83"/>
        <v>3195</v>
      </c>
      <c r="H214" s="24"/>
      <c r="I214" s="24"/>
      <c r="J214" s="24"/>
      <c r="K214" s="24"/>
      <c r="L214" s="24"/>
      <c r="M214" s="24"/>
      <c r="N214" s="24"/>
      <c r="O214" s="24"/>
      <c r="P214" s="24">
        <f>8647-G214</f>
        <v>5452</v>
      </c>
      <c r="Q214" s="24"/>
      <c r="R214" s="24">
        <f>E214+P214</f>
        <v>8647</v>
      </c>
      <c r="S214" s="26">
        <f>R214*6</f>
        <v>51882</v>
      </c>
    </row>
    <row r="215" spans="1:20" s="66" customFormat="1" ht="26.4" customHeight="1" thickBot="1" x14ac:dyDescent="0.3">
      <c r="A215" s="109"/>
      <c r="B215" s="29" t="s">
        <v>58</v>
      </c>
      <c r="C215" s="30">
        <f>SUM(C212:C214)</f>
        <v>2</v>
      </c>
      <c r="D215" s="30"/>
      <c r="E215" s="31">
        <f>SUM(E212:E214)</f>
        <v>7987.5</v>
      </c>
      <c r="F215" s="30">
        <f>SUM(F212:F214)</f>
        <v>0</v>
      </c>
      <c r="G215" s="31">
        <f t="shared" si="83"/>
        <v>7987.5</v>
      </c>
      <c r="H215" s="31"/>
      <c r="I215" s="31">
        <f>SUM(I213:I214)</f>
        <v>188.5</v>
      </c>
      <c r="J215" s="31"/>
      <c r="K215" s="31">
        <f>SUM(K212:K214)</f>
        <v>872.25</v>
      </c>
      <c r="L215" s="31">
        <f>SUM(L212:L214)</f>
        <v>2970.25</v>
      </c>
      <c r="M215" s="31"/>
      <c r="N215" s="31"/>
      <c r="O215" s="31"/>
      <c r="P215" s="31">
        <f>P213+P214</f>
        <v>7890.5</v>
      </c>
      <c r="Q215" s="31"/>
      <c r="R215" s="31">
        <f>SUM(R212:R214)</f>
        <v>19909</v>
      </c>
      <c r="S215" s="36">
        <f>SUM(S212:S214)</f>
        <v>187026</v>
      </c>
    </row>
    <row r="216" spans="1:20" ht="21" customHeight="1" x14ac:dyDescent="0.25">
      <c r="A216" s="82"/>
      <c r="B216" s="72" t="s">
        <v>294</v>
      </c>
      <c r="C216" s="37"/>
      <c r="D216" s="37"/>
      <c r="E216" s="38"/>
      <c r="F216" s="37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63"/>
    </row>
    <row r="217" spans="1:20" ht="25.2" customHeight="1" x14ac:dyDescent="0.25">
      <c r="A217" s="21" t="s">
        <v>295</v>
      </c>
      <c r="B217" s="22" t="s">
        <v>271</v>
      </c>
      <c r="C217" s="23">
        <v>1</v>
      </c>
      <c r="D217" s="23">
        <v>10</v>
      </c>
      <c r="E217" s="24">
        <v>5815</v>
      </c>
      <c r="F217" s="23"/>
      <c r="G217" s="24">
        <f t="shared" ref="G217:G221" si="84">E217+F217</f>
        <v>5815</v>
      </c>
      <c r="H217" s="24"/>
      <c r="I217" s="24"/>
      <c r="J217" s="24"/>
      <c r="K217" s="24">
        <f>G217*0.3</f>
        <v>1744.5</v>
      </c>
      <c r="L217" s="24">
        <f>R217-K217-G217</f>
        <v>5940.5</v>
      </c>
      <c r="M217" s="24"/>
      <c r="N217" s="24"/>
      <c r="O217" s="24"/>
      <c r="P217" s="24"/>
      <c r="Q217" s="24"/>
      <c r="R217" s="24">
        <v>13500</v>
      </c>
      <c r="S217" s="26">
        <f>R217*12</f>
        <v>162000</v>
      </c>
    </row>
    <row r="218" spans="1:20" ht="24" customHeight="1" x14ac:dyDescent="0.25">
      <c r="A218" s="21" t="s">
        <v>296</v>
      </c>
      <c r="B218" s="22" t="s">
        <v>132</v>
      </c>
      <c r="C218" s="23">
        <v>1</v>
      </c>
      <c r="D218" s="23">
        <v>7</v>
      </c>
      <c r="E218" s="24">
        <v>4920</v>
      </c>
      <c r="F218" s="23"/>
      <c r="G218" s="24">
        <f t="shared" si="84"/>
        <v>4920</v>
      </c>
      <c r="H218" s="24"/>
      <c r="I218" s="24">
        <f>G218*0.1</f>
        <v>492</v>
      </c>
      <c r="J218" s="24"/>
      <c r="K218" s="24">
        <f>G218*0.3</f>
        <v>1476</v>
      </c>
      <c r="L218" s="24">
        <f>13500-G218-I218-K218</f>
        <v>6612</v>
      </c>
      <c r="M218" s="24"/>
      <c r="N218" s="24"/>
      <c r="O218" s="24"/>
      <c r="P218" s="24"/>
      <c r="Q218" s="24"/>
      <c r="R218" s="24">
        <f>G218+I218+K218+L218</f>
        <v>13500</v>
      </c>
      <c r="S218" s="26">
        <f t="shared" ref="S218:S219" si="85">R218*12</f>
        <v>162000</v>
      </c>
    </row>
    <row r="219" spans="1:20" ht="25.2" customHeight="1" x14ac:dyDescent="0.25">
      <c r="A219" s="21" t="s">
        <v>297</v>
      </c>
      <c r="B219" s="22" t="s">
        <v>136</v>
      </c>
      <c r="C219" s="23">
        <v>1</v>
      </c>
      <c r="D219" s="23">
        <v>3</v>
      </c>
      <c r="E219" s="24">
        <v>3770</v>
      </c>
      <c r="F219" s="23"/>
      <c r="G219" s="24">
        <f t="shared" si="84"/>
        <v>3770</v>
      </c>
      <c r="H219" s="24"/>
      <c r="I219" s="24">
        <f>G219*0.1</f>
        <v>377</v>
      </c>
      <c r="J219" s="24"/>
      <c r="K219" s="24"/>
      <c r="L219" s="24"/>
      <c r="M219" s="24"/>
      <c r="N219" s="24"/>
      <c r="O219" s="24"/>
      <c r="P219" s="24">
        <f>8647-G219</f>
        <v>4877</v>
      </c>
      <c r="Q219" s="24"/>
      <c r="R219" s="24">
        <f>SUM(G219:Q219)</f>
        <v>9024</v>
      </c>
      <c r="S219" s="26">
        <f t="shared" si="85"/>
        <v>108288</v>
      </c>
    </row>
    <row r="220" spans="1:20" ht="31.8" customHeight="1" x14ac:dyDescent="0.25">
      <c r="A220" s="21" t="s">
        <v>298</v>
      </c>
      <c r="B220" s="22" t="s">
        <v>232</v>
      </c>
      <c r="C220" s="23">
        <v>1.5</v>
      </c>
      <c r="D220" s="23">
        <v>1</v>
      </c>
      <c r="E220" s="24">
        <f>3195*C220</f>
        <v>4792.5</v>
      </c>
      <c r="F220" s="23"/>
      <c r="G220" s="24">
        <f t="shared" si="84"/>
        <v>4792.5</v>
      </c>
      <c r="H220" s="24"/>
      <c r="I220" s="24"/>
      <c r="J220" s="24"/>
      <c r="K220" s="24"/>
      <c r="L220" s="24"/>
      <c r="M220" s="24"/>
      <c r="N220" s="24"/>
      <c r="O220" s="24"/>
      <c r="P220" s="24">
        <f>8647*C220-G220</f>
        <v>8178</v>
      </c>
      <c r="Q220" s="24"/>
      <c r="R220" s="24">
        <f>E220+P220</f>
        <v>12970.5</v>
      </c>
      <c r="S220" s="26">
        <f>R220*6</f>
        <v>77823</v>
      </c>
    </row>
    <row r="221" spans="1:20" s="33" customFormat="1" ht="26.4" customHeight="1" thickBot="1" x14ac:dyDescent="0.3">
      <c r="A221" s="28"/>
      <c r="B221" s="29" t="s">
        <v>58</v>
      </c>
      <c r="C221" s="30">
        <f>SUM(C217:C220)</f>
        <v>4.5</v>
      </c>
      <c r="D221" s="30"/>
      <c r="E221" s="31">
        <f>SUM(E217:E220)</f>
        <v>19297.5</v>
      </c>
      <c r="F221" s="30">
        <f>SUM(F217:F220)</f>
        <v>0</v>
      </c>
      <c r="G221" s="31">
        <f t="shared" si="84"/>
        <v>19297.5</v>
      </c>
      <c r="H221" s="31"/>
      <c r="I221" s="31">
        <f>SUM(I218:I220)</f>
        <v>869</v>
      </c>
      <c r="J221" s="31"/>
      <c r="K221" s="31">
        <f>K217+K218</f>
        <v>3220.5</v>
      </c>
      <c r="L221" s="31">
        <f>L217+L218</f>
        <v>12552.5</v>
      </c>
      <c r="M221" s="31"/>
      <c r="N221" s="31"/>
      <c r="O221" s="31"/>
      <c r="P221" s="31">
        <f>SUM(P217:P220)</f>
        <v>13055</v>
      </c>
      <c r="Q221" s="31"/>
      <c r="R221" s="31">
        <f>SUM(R217:R220)</f>
        <v>48994.5</v>
      </c>
      <c r="S221" s="36">
        <f>SUM(S217:S220)</f>
        <v>510111</v>
      </c>
    </row>
    <row r="222" spans="1:20" s="13" customFormat="1" ht="22.2" customHeight="1" x14ac:dyDescent="0.2">
      <c r="A222" s="17"/>
      <c r="B222" s="72" t="s">
        <v>299</v>
      </c>
      <c r="C222" s="37"/>
      <c r="D222" s="37"/>
      <c r="E222" s="38"/>
      <c r="F222" s="37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63"/>
    </row>
    <row r="223" spans="1:20" ht="24" customHeight="1" x14ac:dyDescent="0.25">
      <c r="A223" s="21" t="s">
        <v>300</v>
      </c>
      <c r="B223" s="22" t="s">
        <v>271</v>
      </c>
      <c r="C223" s="23">
        <v>1</v>
      </c>
      <c r="D223" s="23">
        <v>10</v>
      </c>
      <c r="E223" s="24">
        <v>5815</v>
      </c>
      <c r="F223" s="23"/>
      <c r="G223" s="24">
        <f t="shared" ref="G223:G225" si="86">E223+F223</f>
        <v>5815</v>
      </c>
      <c r="H223" s="24"/>
      <c r="I223" s="24"/>
      <c r="J223" s="24"/>
      <c r="K223" s="24">
        <f>G223*0.3</f>
        <v>1744.5</v>
      </c>
      <c r="L223" s="24">
        <f>R223-K223-G223</f>
        <v>5940.5</v>
      </c>
      <c r="M223" s="24"/>
      <c r="N223" s="24"/>
      <c r="O223" s="24"/>
      <c r="P223" s="24"/>
      <c r="Q223" s="24"/>
      <c r="R223" s="24">
        <v>13500</v>
      </c>
      <c r="S223" s="26">
        <f>R223*12</f>
        <v>162000</v>
      </c>
    </row>
    <row r="224" spans="1:20" s="44" customFormat="1" ht="25.8" customHeight="1" x14ac:dyDescent="0.25">
      <c r="A224" s="21" t="s">
        <v>301</v>
      </c>
      <c r="B224" s="22" t="s">
        <v>136</v>
      </c>
      <c r="C224" s="23">
        <v>0.5</v>
      </c>
      <c r="D224" s="23">
        <v>3</v>
      </c>
      <c r="E224" s="24">
        <v>1885</v>
      </c>
      <c r="F224" s="23"/>
      <c r="G224" s="24">
        <f t="shared" si="86"/>
        <v>1885</v>
      </c>
      <c r="H224" s="24"/>
      <c r="I224" s="24">
        <f>G224*0.1</f>
        <v>188.5</v>
      </c>
      <c r="J224" s="24"/>
      <c r="K224" s="24"/>
      <c r="L224" s="24"/>
      <c r="M224" s="24"/>
      <c r="N224" s="24"/>
      <c r="O224" s="24"/>
      <c r="P224" s="24">
        <f>8647/2-G224</f>
        <v>2438.5</v>
      </c>
      <c r="Q224" s="24"/>
      <c r="R224" s="24">
        <f>SUM(G224:Q224)</f>
        <v>4512</v>
      </c>
      <c r="S224" s="26">
        <f>R224*12</f>
        <v>54144</v>
      </c>
      <c r="T224" s="64"/>
    </row>
    <row r="225" spans="1:19" s="33" customFormat="1" ht="27.6" customHeight="1" thickBot="1" x14ac:dyDescent="0.3">
      <c r="A225" s="28"/>
      <c r="B225" s="29" t="s">
        <v>58</v>
      </c>
      <c r="C225" s="30">
        <f>SUM(C223:C224)</f>
        <v>1.5</v>
      </c>
      <c r="D225" s="30"/>
      <c r="E225" s="31">
        <f>SUM(E223:E224)</f>
        <v>7700</v>
      </c>
      <c r="F225" s="30">
        <f>SUM(F223:F224)</f>
        <v>0</v>
      </c>
      <c r="G225" s="31">
        <f t="shared" si="86"/>
        <v>7700</v>
      </c>
      <c r="H225" s="31"/>
      <c r="I225" s="31">
        <f>SUM(I224)</f>
        <v>188.5</v>
      </c>
      <c r="J225" s="31"/>
      <c r="K225" s="31">
        <f>SUM(K223:K224)</f>
        <v>1744.5</v>
      </c>
      <c r="L225" s="31">
        <f>SUM(L223:L224)</f>
        <v>5940.5</v>
      </c>
      <c r="M225" s="31"/>
      <c r="N225" s="31"/>
      <c r="O225" s="31"/>
      <c r="P225" s="31">
        <f>SUM(P224)</f>
        <v>2438.5</v>
      </c>
      <c r="Q225" s="31"/>
      <c r="R225" s="31">
        <f>SUM(R223:R224)</f>
        <v>18012</v>
      </c>
      <c r="S225" s="36">
        <f>SUM(S223:S224)</f>
        <v>216144</v>
      </c>
    </row>
    <row r="226" spans="1:19" ht="22.2" customHeight="1" x14ac:dyDescent="0.25">
      <c r="A226" s="82"/>
      <c r="B226" s="72" t="s">
        <v>302</v>
      </c>
      <c r="C226" s="37"/>
      <c r="D226" s="37"/>
      <c r="E226" s="38"/>
      <c r="F226" s="37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63"/>
    </row>
    <row r="227" spans="1:19" ht="31.2" customHeight="1" x14ac:dyDescent="0.25">
      <c r="A227" s="21" t="s">
        <v>303</v>
      </c>
      <c r="B227" s="22" t="s">
        <v>132</v>
      </c>
      <c r="C227" s="23">
        <v>0.5</v>
      </c>
      <c r="D227" s="23">
        <v>10</v>
      </c>
      <c r="E227" s="24">
        <v>2907.5</v>
      </c>
      <c r="F227" s="23"/>
      <c r="G227" s="24">
        <f t="shared" ref="G227:G228" si="87">E227+F227</f>
        <v>2907.5</v>
      </c>
      <c r="H227" s="24"/>
      <c r="I227" s="24"/>
      <c r="J227" s="24"/>
      <c r="K227" s="24">
        <f>G227*0.3</f>
        <v>872.25</v>
      </c>
      <c r="L227" s="24">
        <f>13500/2-G227-K227</f>
        <v>2970.25</v>
      </c>
      <c r="M227" s="24"/>
      <c r="N227" s="24"/>
      <c r="O227" s="24"/>
      <c r="P227" s="24"/>
      <c r="Q227" s="24"/>
      <c r="R227" s="24">
        <f>G227+K227+L227</f>
        <v>6750</v>
      </c>
      <c r="S227" s="26">
        <f>R227*12</f>
        <v>81000</v>
      </c>
    </row>
    <row r="228" spans="1:19" s="33" customFormat="1" ht="25.8" customHeight="1" thickBot="1" x14ac:dyDescent="0.3">
      <c r="A228" s="28"/>
      <c r="B228" s="29" t="s">
        <v>58</v>
      </c>
      <c r="C228" s="30">
        <f>SUM(C227:C227)</f>
        <v>0.5</v>
      </c>
      <c r="D228" s="30"/>
      <c r="E228" s="31">
        <f>SUM(E227:E227)</f>
        <v>2907.5</v>
      </c>
      <c r="F228" s="30">
        <f>SUM(F227:F227)</f>
        <v>0</v>
      </c>
      <c r="G228" s="31">
        <f t="shared" si="87"/>
        <v>2907.5</v>
      </c>
      <c r="H228" s="31"/>
      <c r="I228" s="31">
        <v>0</v>
      </c>
      <c r="J228" s="31"/>
      <c r="K228" s="31">
        <f>SUM(K227:K227)</f>
        <v>872.25</v>
      </c>
      <c r="L228" s="31">
        <f>SUM(L227:L227)</f>
        <v>2970.25</v>
      </c>
      <c r="M228" s="31"/>
      <c r="N228" s="31"/>
      <c r="O228" s="31"/>
      <c r="P228" s="31">
        <v>0</v>
      </c>
      <c r="Q228" s="31"/>
      <c r="R228" s="31">
        <f>SUM(R227:R227)</f>
        <v>6750</v>
      </c>
      <c r="S228" s="36">
        <f>SUM(S227:S227)</f>
        <v>81000</v>
      </c>
    </row>
    <row r="229" spans="1:19" ht="18.600000000000001" customHeight="1" x14ac:dyDescent="0.25">
      <c r="A229" s="82"/>
      <c r="B229" s="72" t="s">
        <v>304</v>
      </c>
      <c r="C229" s="37"/>
      <c r="D229" s="37"/>
      <c r="E229" s="38"/>
      <c r="F229" s="37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63"/>
    </row>
    <row r="230" spans="1:19" x14ac:dyDescent="0.25">
      <c r="A230" s="21" t="s">
        <v>305</v>
      </c>
      <c r="B230" s="22" t="s">
        <v>132</v>
      </c>
      <c r="C230" s="23">
        <v>0.5</v>
      </c>
      <c r="D230" s="23">
        <v>10</v>
      </c>
      <c r="E230" s="24">
        <v>2907.5</v>
      </c>
      <c r="F230" s="23"/>
      <c r="G230" s="24">
        <f t="shared" ref="G230:G232" si="88">E230+F230</f>
        <v>2907.5</v>
      </c>
      <c r="H230" s="24"/>
      <c r="I230" s="24"/>
      <c r="J230" s="24"/>
      <c r="K230" s="24">
        <f>G230*0.3</f>
        <v>872.25</v>
      </c>
      <c r="L230" s="24">
        <f>13500/2-G230-K230</f>
        <v>2970.25</v>
      </c>
      <c r="M230" s="24"/>
      <c r="N230" s="24"/>
      <c r="O230" s="24"/>
      <c r="P230" s="24"/>
      <c r="Q230" s="24"/>
      <c r="R230" s="24">
        <f>G230+K230+L230</f>
        <v>6750</v>
      </c>
      <c r="S230" s="26">
        <f>R230*12</f>
        <v>81000</v>
      </c>
    </row>
    <row r="231" spans="1:19" s="44" customFormat="1" x14ac:dyDescent="0.25">
      <c r="A231" s="21" t="s">
        <v>306</v>
      </c>
      <c r="B231" s="22" t="s">
        <v>136</v>
      </c>
      <c r="C231" s="23">
        <v>0.25</v>
      </c>
      <c r="D231" s="23">
        <v>3</v>
      </c>
      <c r="E231" s="24">
        <v>942.5</v>
      </c>
      <c r="F231" s="23"/>
      <c r="G231" s="24">
        <f t="shared" si="88"/>
        <v>942.5</v>
      </c>
      <c r="H231" s="24"/>
      <c r="I231" s="24">
        <f>G231*0.1</f>
        <v>94.25</v>
      </c>
      <c r="J231" s="24"/>
      <c r="K231" s="24"/>
      <c r="L231" s="24"/>
      <c r="M231" s="24"/>
      <c r="N231" s="24"/>
      <c r="O231" s="24"/>
      <c r="P231" s="24">
        <f>8647*0.25-G231</f>
        <v>1219.25</v>
      </c>
      <c r="Q231" s="24"/>
      <c r="R231" s="24">
        <f>E231+I231+P231</f>
        <v>2256</v>
      </c>
      <c r="S231" s="26">
        <f>R231*12</f>
        <v>27072</v>
      </c>
    </row>
    <row r="232" spans="1:19" s="33" customFormat="1" ht="27" customHeight="1" thickBot="1" x14ac:dyDescent="0.3">
      <c r="A232" s="28"/>
      <c r="B232" s="29" t="s">
        <v>58</v>
      </c>
      <c r="C232" s="30">
        <f>SUM(C230:C231)</f>
        <v>0.75</v>
      </c>
      <c r="D232" s="30"/>
      <c r="E232" s="31">
        <f>SUM(E230:E231)</f>
        <v>3850</v>
      </c>
      <c r="F232" s="30">
        <f>SUM(F230:F231)</f>
        <v>0</v>
      </c>
      <c r="G232" s="31">
        <f t="shared" si="88"/>
        <v>3850</v>
      </c>
      <c r="H232" s="31"/>
      <c r="I232" s="31">
        <f>SUM(I231)</f>
        <v>94.25</v>
      </c>
      <c r="J232" s="31"/>
      <c r="K232" s="31">
        <f>SUM(K230:K231)</f>
        <v>872.25</v>
      </c>
      <c r="L232" s="31">
        <f>SUM(L230:L231)</f>
        <v>2970.25</v>
      </c>
      <c r="M232" s="31"/>
      <c r="N232" s="31"/>
      <c r="O232" s="31"/>
      <c r="P232" s="31">
        <f>SUM(P231)</f>
        <v>1219.25</v>
      </c>
      <c r="Q232" s="31"/>
      <c r="R232" s="31">
        <f>SUM(R230:R231)</f>
        <v>9006</v>
      </c>
      <c r="S232" s="36">
        <f>SUM(S230:S231)</f>
        <v>108072</v>
      </c>
    </row>
    <row r="233" spans="1:19" s="66" customFormat="1" ht="23.25" customHeight="1" thickBot="1" x14ac:dyDescent="0.3">
      <c r="A233" s="110"/>
      <c r="B233" s="111" t="s">
        <v>307</v>
      </c>
      <c r="C233" s="112">
        <f>C27+C38+C46+C41+C54+C60+C81+C127+C111+C117+C140+C151+C157+C164+C171+C180+C185+C225+C221+C215+C201+C206+C228+C232+C191+C210+C196+C144+C121</f>
        <v>190.5</v>
      </c>
      <c r="D233" s="113"/>
      <c r="E233" s="112">
        <f t="shared" ref="E233:S233" si="89">E27+E38+E46+E41+E54+E60+E81+E127+E111+E117+E140+E151+E157+E164+E171+E180+E185+E221+E225+E215+E201+E206+E228+E191+E210+E196+E144+E232+E121</f>
        <v>1092453</v>
      </c>
      <c r="F233" s="112">
        <f t="shared" si="89"/>
        <v>29225.087499999998</v>
      </c>
      <c r="G233" s="112">
        <f t="shared" si="89"/>
        <v>1121678.0874999999</v>
      </c>
      <c r="H233" s="112">
        <f t="shared" si="89"/>
        <v>23827.25</v>
      </c>
      <c r="I233" s="112">
        <f t="shared" si="89"/>
        <v>26547.473749999997</v>
      </c>
      <c r="J233" s="112">
        <f t="shared" si="89"/>
        <v>491.82400000000001</v>
      </c>
      <c r="K233" s="112">
        <f t="shared" si="89"/>
        <v>221954.65124999994</v>
      </c>
      <c r="L233" s="112">
        <f t="shared" si="89"/>
        <v>887144.38749999984</v>
      </c>
      <c r="M233" s="112">
        <f t="shared" si="89"/>
        <v>3750</v>
      </c>
      <c r="N233" s="112">
        <f t="shared" si="89"/>
        <v>24555.780000000006</v>
      </c>
      <c r="O233" s="112">
        <f t="shared" si="89"/>
        <v>142474.25</v>
      </c>
      <c r="P233" s="112">
        <f t="shared" si="89"/>
        <v>287823.25</v>
      </c>
      <c r="Q233" s="112">
        <f t="shared" si="89"/>
        <v>0</v>
      </c>
      <c r="R233" s="112">
        <f>R27+R38+R46+R41+R54+R60+R81+R127+R111+R117+R140+R151+R157+R164+R171+R180+R185+R221+R225+R215+R201+R206+R228+R191+R210+R196+R144+R232+R121</f>
        <v>2740012.6539999996</v>
      </c>
      <c r="S233" s="112">
        <f t="shared" si="89"/>
        <v>31913632.447999999</v>
      </c>
    </row>
    <row r="234" spans="1:19" ht="12.6" thickBot="1" x14ac:dyDescent="0.3">
      <c r="F234" s="13"/>
      <c r="I234" s="114"/>
    </row>
    <row r="235" spans="1:19" ht="15.6" customHeight="1" x14ac:dyDescent="0.25">
      <c r="B235" s="115" t="s">
        <v>308</v>
      </c>
      <c r="C235" s="116">
        <f>C48+C49+C56+C57+C58+C63+C64+C65+C66+C67+C68+C123+C124+C83+C84+C85+C86+C87+C88+C89+C100+C94+C90+C95+C91+C74+C98+C96+C93+C92+C101+C99+C102+C113+C114+C133+C129+C134+C135+C146+C153+C159+C166+C173+C174+C175+C182+C141+C69+C70+C71+C72+C73+C119+C120+C97</f>
        <v>49.75</v>
      </c>
      <c r="D235" s="116"/>
      <c r="E235" s="116">
        <f>E48+E49+E56+E57+E58+E63+E64+E65+E66+E67+E68+E123+E124+E83+E84+E85+E86+E87+E88+E89+E100+E94+E90+E95+E91+E74+E98+E96+E93+E92+E101+E99+E102+E113+E114+E133+E129+E134+E135+E146+E153+E159+E166+E173+E174+E175+E182+E141+E69+E70+E71+E72+E73+E119+E120+E97</f>
        <v>348693.5</v>
      </c>
      <c r="F235" s="116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>
        <f t="shared" ref="Q235" si="90">Q48+Q49+Q56+Q57+Q58+Q63+Q64+Q65+Q66+Q67+Q68+Q123+Q124+Q83+Q84+Q85+Q86+Q87+Q88+Q89+Q100+Q94+Q90+Q95+Q91+Q74+Q98+Q96+Q93+Q92+Q101+Q99+Q102+Q113+Q114+Q133+Q129+Q134+Q135+Q146+Q153+Q159+Q166+Q173+Q174+Q175+Q182+Q141+Q69+Q70+Q71+Q72+Q73+Q119+Q120</f>
        <v>0</v>
      </c>
      <c r="R235" s="116">
        <f>R48+R49+R56+R57+R58+R63+R64+R65+R66+R67+R68+R123+R124+R83+R84+R85+R86+R87+R88+R89+R100+R94+R90+R95+R91+R74+R98+R96+R93+R92+R101+R99+R102+R113+R114+R133+R129+R134+R135+R146+R153+R159+R166+R173+R174+R175+R182+R141+R69+R70+R71+R72+R73+R119+R120+R97</f>
        <v>980000</v>
      </c>
      <c r="S235" s="116">
        <f>S48+S49+S56+S57+S58+S63+S64+S65+S66+S67+S68+S123+S124+S83+S84+S85+S86+S87+S88+S89+S100+S94+S90+S95+S91+S74+S98+S96+S93+S92+S101+S99+S102+S113+S114+S133+S129+S134+S135+S146+S153+S159+S166+S173+S174+S175+S182+S141+S69+S70+S71+S72+S73+S119+S120+S97</f>
        <v>11760000</v>
      </c>
    </row>
    <row r="236" spans="1:19" ht="15.6" customHeight="1" x14ac:dyDescent="0.25">
      <c r="B236" s="117" t="s">
        <v>309</v>
      </c>
      <c r="C236" s="118">
        <f>C17+C50+C53+C75+C76+C77+C125+C103+C106+C107+C104+C105+C108+C115+C130+C136+C137+C138+C147+C154+C155+C160+C161+C167+C168+C176+C177+C183+C218+C217+C223+C212+C198+C203+C227+C188+C208+C193+C142+C230</f>
        <v>69</v>
      </c>
      <c r="D236" s="118"/>
      <c r="E236" s="119">
        <f>E17+E50+E53+E75+E76+E77+E125+E103+E106+E107+E104+E105+E108+E115+E130+E136+E137+E138+E147+E154+E155+E160+E161+E167+E168+E176+E177+E183+E218+E217+E223+E212+E198+E203+E227+E188+E208+E193+E142+E230</f>
        <v>387674</v>
      </c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>
        <f>Q17+Q50+Q53+Q75+Q76+Q77+Q125+Q103+Q106+Q107+Q104+Q105+Q108+Q115+Q130+Q136+Q137+Q138+Q147+Q154+Q155+Q160+Q161+Q167+Q168+Q176+Q177+Q183+Q218+Q217+Q223+Q212+Q198+Q203+Q227+Q188+Q208+Q193+Q142+Q230</f>
        <v>0</v>
      </c>
      <c r="R236" s="118">
        <f>R17+R50+R53+R75+R76+R77+R125+R103+R106+R107+R104+R105+R108+R115+R130+R136+R137+R138+R147+R154+R155+R160+R161+R167+R168+R176+R177+R183+R218+R217+R223+R212+R198+R203+R227+R188+R208+R193+R142+R230</f>
        <v>940097</v>
      </c>
      <c r="S236" s="120">
        <f>S17+S50+S53+S75+S76+S77+S125+S103+S106+S107+S104+S105+S108+S115+S130+S136+S137+S138+S147+S154+S155+S160+S161+S167+S168+S176+S177+S183+S218+S217+S223+S212+S198+S203+S227+S188+S208+S193+S142+S230</f>
        <v>11281164</v>
      </c>
    </row>
    <row r="237" spans="1:19" ht="15.6" customHeight="1" x14ac:dyDescent="0.25">
      <c r="B237" s="117" t="s">
        <v>310</v>
      </c>
      <c r="C237" s="118">
        <f>C78+C79+C126+C110+C116+C139+C148+C156+C162+C169+C178+C184+C219+C224+C213+C199+C204+C189+C209+C194+C231</f>
        <v>26.75</v>
      </c>
      <c r="D237" s="118"/>
      <c r="E237" s="119">
        <f>E78+E79+E126+E110+E116+E139+E148+E156+E162+E169+E178+E184+E219+E224+E213+E199+E204+E189+E209+E194+E231</f>
        <v>103295.5</v>
      </c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 t="e">
        <f>Q78+Q79+Q126+Q110+Q116+Q139+Q148+Q156+Q162+Q169+Q178+Q184+Q219+Q224+Q213+Q199+Q204+#REF!+Q189+Q209+Q194+Q231</f>
        <v>#REF!</v>
      </c>
      <c r="R237" s="119">
        <f>R78+R79+R126+R110+R116+R139+R148+R156+R162+R169+R178+R184+R219+R224+R213+R199+R204+R189+R209+R194+R231</f>
        <v>247596.08</v>
      </c>
      <c r="S237" s="121">
        <f>S78+S79+S126+S110+S116+S139+S148+S156+S162+S169+S178+S184+S219+S224+S213+S199+S204+S189+S209+S194+S231</f>
        <v>2971152.96</v>
      </c>
    </row>
    <row r="238" spans="1:19" ht="15.6" customHeight="1" x14ac:dyDescent="0.25">
      <c r="B238" s="117" t="s">
        <v>311</v>
      </c>
      <c r="C238" s="118">
        <f>C14+C15+C16+C18+C19+C20+C21+C22+C23+C24+C25+C26+C29+C31+C32+C33+C35+C36+C37+C43+C44+C45+C40+C51+C52+C59+C80+C109+C149+C150+C163+C170+C179+C220+C214+C200+C205+C190+C195+C143+C34+C30</f>
        <v>45</v>
      </c>
      <c r="D238" s="118"/>
      <c r="E238" s="119">
        <f>E14+E15+E16+E18+E19+E20+E21+E22+E23+E24+E25+E26+E29+E31+E32+E33+E35+E36+E37+E43+E44+E45+E40+E51+E52+E59+E80+E109+E149+E150+E163+E170+E179+E220+E214+E200+E205+E190+E195+E143+E34+E30</f>
        <v>252790</v>
      </c>
      <c r="F238" s="118"/>
      <c r="G238" s="118"/>
      <c r="H238" s="118" t="s">
        <v>7</v>
      </c>
      <c r="I238" s="118"/>
      <c r="J238" s="118"/>
      <c r="K238" s="118"/>
      <c r="L238" s="118"/>
      <c r="M238" s="118"/>
      <c r="N238" s="118"/>
      <c r="O238" s="118"/>
      <c r="P238" s="118"/>
      <c r="Q238" s="118">
        <f>Q14+Q15+Q16+Q18+Q19+Q20+Q21+Q22+Q23+Q24+Q25+Q26+Q29+Q31+Q32+Q33+Q35+Q36+Q37+Q43+Q44+Q45+Q40+Q51+Q52+Q59+Q80+Q109+Q149+Q150+Q163+Q170+Q179+Q220+Q214+Q200+Q205+Q190+Q195+Q143+Q34</f>
        <v>0</v>
      </c>
      <c r="R238" s="119">
        <f>R14+R15+R16+R18+R19+R20+R21+R22+R23+R24+R25+R26+R29+R31+R32+R33+R35+R36+R37+R43+R44+R45+R40+R51+R52+R59+R80+R109+R149+R150+R163+R170+R179+R220+R214+R200+R205+R190+R195+R143+R34+R30</f>
        <v>572319.57400000002</v>
      </c>
      <c r="S238" s="119">
        <f>S14+S15+S16+S18+S19+S20+S21+S22+S23+S24+S25+S26+S29+S31+S32+S33+S35+S36+S37+S43+S44+S45+S40+S51+S52+S59+S80+S109+S149+S150+S163+S170+S179+S220+S214+S200+S205+S190+S195+S143+S34+S30</f>
        <v>6582483.8879999993</v>
      </c>
    </row>
    <row r="239" spans="1:19" ht="12.6" thickBot="1" x14ac:dyDescent="0.3">
      <c r="B239" s="122" t="s">
        <v>312</v>
      </c>
      <c r="C239" s="123">
        <f>SUBTOTAL(9,C235:C238)</f>
        <v>190.5</v>
      </c>
      <c r="D239" s="123"/>
      <c r="E239" s="124">
        <f>SUBTOTAL(9,E235:E238)</f>
        <v>1092453</v>
      </c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 t="e">
        <f t="shared" ref="Q239:S239" si="91">SUBTOTAL(9,Q235:Q238)</f>
        <v>#REF!</v>
      </c>
      <c r="R239" s="124">
        <f>R235+R236+R237+R238</f>
        <v>2740012.6540000001</v>
      </c>
      <c r="S239" s="125">
        <f t="shared" si="91"/>
        <v>32594800.848000001</v>
      </c>
    </row>
    <row r="240" spans="1:19" ht="19.95" customHeight="1" x14ac:dyDescent="0.25">
      <c r="R240" s="70"/>
    </row>
    <row r="241" spans="2:10" ht="19.2" customHeight="1" x14ac:dyDescent="0.3">
      <c r="B241" s="126" t="s">
        <v>313</v>
      </c>
      <c r="C241" s="127"/>
      <c r="D241" s="127"/>
      <c r="E241" s="128">
        <f>E239</f>
        <v>1092453</v>
      </c>
      <c r="G241" s="129"/>
      <c r="H241" s="130"/>
      <c r="I241" s="131"/>
    </row>
    <row r="242" spans="2:10" x14ac:dyDescent="0.25">
      <c r="B242" s="126" t="s">
        <v>314</v>
      </c>
      <c r="E242" s="69">
        <f>S233+E241</f>
        <v>33006085.447999999</v>
      </c>
    </row>
    <row r="244" spans="2:10" ht="15.6" x14ac:dyDescent="0.3">
      <c r="C244" s="132"/>
      <c r="D244" s="132"/>
      <c r="E244" s="132"/>
      <c r="F244" s="132"/>
      <c r="G244" s="132"/>
      <c r="H244" s="132"/>
      <c r="I244" s="132"/>
      <c r="J244" s="132"/>
    </row>
    <row r="245" spans="2:10" ht="15.6" x14ac:dyDescent="0.3">
      <c r="C245" s="132" t="s">
        <v>315</v>
      </c>
      <c r="D245" s="132"/>
      <c r="E245" s="132"/>
      <c r="F245" s="132"/>
      <c r="G245" s="132"/>
      <c r="H245" s="132" t="s">
        <v>316</v>
      </c>
      <c r="I245" s="132"/>
      <c r="J245" s="132"/>
    </row>
    <row r="246" spans="2:10" ht="15.6" x14ac:dyDescent="0.3">
      <c r="C246" s="132"/>
      <c r="D246" s="132"/>
      <c r="E246" s="132"/>
      <c r="F246" s="132"/>
      <c r="G246" s="132"/>
      <c r="H246" s="132"/>
      <c r="I246" s="132"/>
      <c r="J246" s="132"/>
    </row>
    <row r="247" spans="2:10" ht="15.6" x14ac:dyDescent="0.3">
      <c r="C247" s="132"/>
      <c r="D247" s="132"/>
      <c r="E247" s="132"/>
      <c r="F247" s="132"/>
      <c r="G247" s="132"/>
      <c r="H247" s="132"/>
      <c r="I247" s="132"/>
      <c r="J247" s="132"/>
    </row>
    <row r="248" spans="2:10" ht="15.6" x14ac:dyDescent="0.3">
      <c r="C248" s="142"/>
      <c r="D248" s="142"/>
      <c r="E248" s="142"/>
      <c r="F248" s="132"/>
      <c r="G248" s="132"/>
      <c r="H248" s="132"/>
      <c r="I248" s="132"/>
      <c r="J248" s="132"/>
    </row>
    <row r="249" spans="2:10" ht="15.6" x14ac:dyDescent="0.3">
      <c r="C249" s="132"/>
      <c r="D249" s="133"/>
      <c r="E249" s="133"/>
      <c r="F249" s="132"/>
      <c r="G249" s="132"/>
      <c r="H249" s="132"/>
      <c r="I249" s="132"/>
      <c r="J249" s="132"/>
    </row>
    <row r="250" spans="2:10" ht="15.6" x14ac:dyDescent="0.3">
      <c r="C250" s="132"/>
      <c r="D250" s="132"/>
      <c r="E250" s="132"/>
      <c r="F250" s="132"/>
      <c r="G250" s="132"/>
      <c r="H250" s="132"/>
      <c r="I250" s="132"/>
      <c r="J250" s="132"/>
    </row>
    <row r="251" spans="2:10" ht="15.6" x14ac:dyDescent="0.3">
      <c r="C251" s="132"/>
      <c r="D251" s="132"/>
      <c r="E251" s="132"/>
      <c r="F251" s="132"/>
      <c r="G251" s="132"/>
      <c r="H251" s="132"/>
      <c r="I251" s="132"/>
      <c r="J251" s="132"/>
    </row>
    <row r="252" spans="2:10" ht="15.6" x14ac:dyDescent="0.3">
      <c r="C252" s="132"/>
      <c r="D252" s="132"/>
      <c r="E252" s="132"/>
      <c r="F252" s="132"/>
      <c r="G252" s="132"/>
      <c r="H252" s="132"/>
      <c r="I252" s="132"/>
      <c r="J252" s="132"/>
    </row>
    <row r="253" spans="2:10" ht="15.6" x14ac:dyDescent="0.3">
      <c r="C253" s="132"/>
      <c r="D253" s="132"/>
      <c r="E253" s="132"/>
      <c r="F253" s="132"/>
      <c r="G253" s="132"/>
      <c r="H253" s="132"/>
      <c r="I253" s="132"/>
      <c r="J253" s="132"/>
    </row>
    <row r="254" spans="2:10" ht="15.6" x14ac:dyDescent="0.3">
      <c r="C254" s="142"/>
      <c r="D254" s="143"/>
      <c r="E254" s="143"/>
      <c r="F254" s="132"/>
      <c r="G254" s="132"/>
      <c r="H254" s="132"/>
      <c r="I254" s="132"/>
      <c r="J254" s="132"/>
    </row>
    <row r="255" spans="2:10" ht="15.6" x14ac:dyDescent="0.3">
      <c r="C255" s="132"/>
      <c r="D255" s="133"/>
      <c r="E255" s="133"/>
      <c r="F255" s="132"/>
      <c r="G255" s="132"/>
      <c r="H255" s="132"/>
      <c r="I255" s="132"/>
      <c r="J255" s="132"/>
    </row>
    <row r="256" spans="2:10" ht="15.6" x14ac:dyDescent="0.3">
      <c r="C256" s="132"/>
      <c r="D256" s="132"/>
      <c r="E256" s="132"/>
      <c r="F256" s="132"/>
      <c r="G256" s="132"/>
      <c r="H256" s="132"/>
      <c r="I256" s="132"/>
      <c r="J256" s="132"/>
    </row>
    <row r="257" spans="3:10" ht="15.6" x14ac:dyDescent="0.3">
      <c r="C257" s="132"/>
      <c r="D257" s="132"/>
      <c r="E257" s="132"/>
      <c r="F257" s="132"/>
      <c r="G257" s="132"/>
      <c r="H257" s="132"/>
      <c r="I257" s="132"/>
      <c r="J257" s="132"/>
    </row>
  </sheetData>
  <mergeCells count="28">
    <mergeCell ref="C254:E254"/>
    <mergeCell ref="O11:O12"/>
    <mergeCell ref="P11:P12"/>
    <mergeCell ref="Q11:Q12"/>
    <mergeCell ref="R11:R12"/>
    <mergeCell ref="C248:E248"/>
    <mergeCell ref="F11:F12"/>
    <mergeCell ref="G11:G12"/>
    <mergeCell ref="H11:K11"/>
    <mergeCell ref="L11:L12"/>
    <mergeCell ref="M6:S6"/>
    <mergeCell ref="O8:P8"/>
    <mergeCell ref="B9:R9"/>
    <mergeCell ref="B10:R10"/>
    <mergeCell ref="S11:S12"/>
    <mergeCell ref="M11:M12"/>
    <mergeCell ref="N11:N12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.7" right="0.7" top="0.75" bottom="0.75" header="0.3" footer="0.3"/>
  <pageSetup paperSize="9" scale="5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KNP</dc:creator>
  <cp:lastModifiedBy>Секретарь</cp:lastModifiedBy>
  <cp:lastPrinted>2025-12-22T08:18:38Z</cp:lastPrinted>
  <dcterms:created xsi:type="dcterms:W3CDTF">2025-12-18T10:50:43Z</dcterms:created>
  <dcterms:modified xsi:type="dcterms:W3CDTF">2025-12-25T07:28:04Z</dcterms:modified>
</cp:coreProperties>
</file>