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58 сесія РІШЕННЯ 23 та 24.12.2025\"/>
    </mc:Choice>
  </mc:AlternateContent>
  <xr:revisionPtr revIDLastSave="0" documentId="13_ncr:1_{730BB6BC-2E95-49A4-B62B-AB7724B5168A}" xr6:coauthVersionLast="45" xr6:coauthVersionMax="45" xr10:uidLastSave="{00000000-0000-0000-0000-000000000000}"/>
  <bookViews>
    <workbookView xWindow="-108" yWindow="-108" windowWidth="23256" windowHeight="12576" xr2:uid="{8273F57E-00E0-4FC9-9F1A-5A3F6AAF62E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18" i="1" l="1"/>
  <c r="N136" i="1" l="1"/>
  <c r="P30" i="1"/>
  <c r="O19" i="1"/>
  <c r="R226" i="1"/>
  <c r="R222" i="1"/>
  <c r="R218" i="1"/>
  <c r="R214" i="1"/>
  <c r="R208" i="1"/>
  <c r="R203" i="1"/>
  <c r="R199" i="1"/>
  <c r="R194" i="1"/>
  <c r="R189" i="1"/>
  <c r="R184" i="1"/>
  <c r="R178" i="1"/>
  <c r="R173" i="1"/>
  <c r="R164" i="1"/>
  <c r="R157" i="1"/>
  <c r="R150" i="1"/>
  <c r="R144" i="1"/>
  <c r="R133" i="1"/>
  <c r="R120" i="1"/>
  <c r="R114" i="1"/>
  <c r="R108" i="1"/>
  <c r="R79" i="1"/>
  <c r="R52" i="1"/>
  <c r="R44" i="1"/>
  <c r="C214" i="1"/>
  <c r="C227" i="1"/>
  <c r="E232" i="1"/>
  <c r="Q232" i="1"/>
  <c r="E231" i="1"/>
  <c r="Q231" i="1"/>
  <c r="R231" i="1"/>
  <c r="S231" i="1"/>
  <c r="E230" i="1"/>
  <c r="Q230" i="1"/>
  <c r="R230" i="1"/>
  <c r="S230" i="1"/>
  <c r="E229" i="1"/>
  <c r="Q229" i="1"/>
  <c r="R229" i="1"/>
  <c r="S229" i="1"/>
  <c r="C232" i="1"/>
  <c r="C231" i="1"/>
  <c r="C230" i="1"/>
  <c r="C229" i="1"/>
  <c r="E213" i="1"/>
  <c r="E170" i="1"/>
  <c r="E154" i="1"/>
  <c r="E153" i="1"/>
  <c r="E152" i="1"/>
  <c r="E147" i="1"/>
  <c r="E142" i="1"/>
  <c r="E136" i="1"/>
  <c r="N135" i="1"/>
  <c r="E135" i="1"/>
  <c r="E132" i="1" l="1"/>
  <c r="E129" i="1"/>
  <c r="E126" i="1"/>
  <c r="N119" i="1"/>
  <c r="N118" i="1"/>
  <c r="E118" i="1"/>
  <c r="C114" i="1"/>
  <c r="E107" i="1"/>
  <c r="E105" i="1"/>
  <c r="E103" i="1"/>
  <c r="E88" i="1"/>
  <c r="N76" i="1"/>
  <c r="E76" i="1"/>
  <c r="E74" i="1"/>
  <c r="E47" i="1"/>
  <c r="G47" i="1" s="1"/>
  <c r="P47" i="1" s="1"/>
  <c r="E43" i="1" l="1"/>
  <c r="E42" i="1"/>
  <c r="E38" i="1"/>
  <c r="E32" i="1"/>
  <c r="E26" i="1"/>
  <c r="E23" i="1"/>
  <c r="E19" i="1"/>
  <c r="Q233" i="1" l="1"/>
  <c r="F226" i="1"/>
  <c r="E226" i="1"/>
  <c r="C226" i="1"/>
  <c r="G225" i="1"/>
  <c r="P225" i="1" s="1"/>
  <c r="P226" i="1" s="1"/>
  <c r="G224" i="1"/>
  <c r="K224" i="1" s="1"/>
  <c r="F222" i="1"/>
  <c r="E222" i="1"/>
  <c r="C222" i="1"/>
  <c r="G221" i="1"/>
  <c r="G220" i="1"/>
  <c r="K220" i="1" s="1"/>
  <c r="F218" i="1"/>
  <c r="E218" i="1"/>
  <c r="C218" i="1"/>
  <c r="G217" i="1"/>
  <c r="S216" i="1"/>
  <c r="G216" i="1"/>
  <c r="K216" i="1" s="1"/>
  <c r="F214" i="1"/>
  <c r="E214" i="1"/>
  <c r="G213" i="1"/>
  <c r="G212" i="1"/>
  <c r="P212" i="1" s="1"/>
  <c r="G211" i="1"/>
  <c r="K211" i="1" s="1"/>
  <c r="S210" i="1"/>
  <c r="G210" i="1"/>
  <c r="K210" i="1" s="1"/>
  <c r="F208" i="1"/>
  <c r="E208" i="1"/>
  <c r="C208" i="1"/>
  <c r="G207" i="1"/>
  <c r="P207" i="1" s="1"/>
  <c r="R207" i="1" s="1"/>
  <c r="S207" i="1" s="1"/>
  <c r="G206" i="1"/>
  <c r="G205" i="1"/>
  <c r="K205" i="1" s="1"/>
  <c r="F203" i="1"/>
  <c r="E203" i="1"/>
  <c r="C203" i="1"/>
  <c r="G202" i="1"/>
  <c r="S201" i="1"/>
  <c r="G201" i="1"/>
  <c r="K201" i="1" s="1"/>
  <c r="F199" i="1"/>
  <c r="E199" i="1"/>
  <c r="C199" i="1"/>
  <c r="G198" i="1"/>
  <c r="P198" i="1" s="1"/>
  <c r="R198" i="1" s="1"/>
  <c r="S198" i="1" s="1"/>
  <c r="G197" i="1"/>
  <c r="P197" i="1" s="1"/>
  <c r="G196" i="1"/>
  <c r="F194" i="1"/>
  <c r="E194" i="1"/>
  <c r="C194" i="1"/>
  <c r="G193" i="1"/>
  <c r="P193" i="1" s="1"/>
  <c r="R193" i="1" s="1"/>
  <c r="S193" i="1" s="1"/>
  <c r="G192" i="1"/>
  <c r="P192" i="1" s="1"/>
  <c r="G191" i="1"/>
  <c r="E189" i="1"/>
  <c r="G189" i="1" s="1"/>
  <c r="C189" i="1"/>
  <c r="G188" i="1"/>
  <c r="P188" i="1" s="1"/>
  <c r="R188" i="1" s="1"/>
  <c r="S188" i="1" s="1"/>
  <c r="G187" i="1"/>
  <c r="I187" i="1" s="1"/>
  <c r="G186" i="1"/>
  <c r="E184" i="1"/>
  <c r="G184" i="1" s="1"/>
  <c r="C184" i="1"/>
  <c r="G183" i="1"/>
  <c r="P183" i="1" s="1"/>
  <c r="R183" i="1" s="1"/>
  <c r="S183" i="1" s="1"/>
  <c r="G182" i="1"/>
  <c r="P182" i="1" s="1"/>
  <c r="S181" i="1"/>
  <c r="G181" i="1"/>
  <c r="K181" i="1" s="1"/>
  <c r="L181" i="1" s="1"/>
  <c r="L184" i="1" s="1"/>
  <c r="M178" i="1"/>
  <c r="C178" i="1"/>
  <c r="G177" i="1"/>
  <c r="I177" i="1" s="1"/>
  <c r="G176" i="1"/>
  <c r="K176" i="1" s="1"/>
  <c r="E175" i="1"/>
  <c r="O173" i="1"/>
  <c r="C173" i="1"/>
  <c r="G172" i="1"/>
  <c r="G171" i="1"/>
  <c r="G170" i="1"/>
  <c r="G169" i="1"/>
  <c r="G168" i="1"/>
  <c r="E167" i="1"/>
  <c r="G167" i="1" s="1"/>
  <c r="F166" i="1"/>
  <c r="F173" i="1" s="1"/>
  <c r="O164" i="1"/>
  <c r="C164" i="1"/>
  <c r="G163" i="1"/>
  <c r="G162" i="1"/>
  <c r="I162" i="1" s="1"/>
  <c r="I164" i="1" s="1"/>
  <c r="G161" i="1"/>
  <c r="K161" i="1" s="1"/>
  <c r="G160" i="1"/>
  <c r="K160" i="1" s="1"/>
  <c r="E159" i="1"/>
  <c r="E164" i="1" s="1"/>
  <c r="O157" i="1"/>
  <c r="M157" i="1"/>
  <c r="E157" i="1"/>
  <c r="C157" i="1"/>
  <c r="G156" i="1"/>
  <c r="P156" i="1" s="1"/>
  <c r="R156" i="1" s="1"/>
  <c r="S156" i="1" s="1"/>
  <c r="G155" i="1"/>
  <c r="I155" i="1" s="1"/>
  <c r="I157" i="1" s="1"/>
  <c r="G154" i="1"/>
  <c r="G153" i="1"/>
  <c r="F152" i="1"/>
  <c r="F157" i="1" s="1"/>
  <c r="O150" i="1"/>
  <c r="M150" i="1"/>
  <c r="C150" i="1"/>
  <c r="G149" i="1"/>
  <c r="I149" i="1" s="1"/>
  <c r="I150" i="1" s="1"/>
  <c r="G148" i="1"/>
  <c r="K148" i="1" s="1"/>
  <c r="G147" i="1"/>
  <c r="E146" i="1"/>
  <c r="E150" i="1" s="1"/>
  <c r="C144" i="1"/>
  <c r="G143" i="1"/>
  <c r="G142" i="1"/>
  <c r="P142" i="1" s="1"/>
  <c r="G141" i="1"/>
  <c r="P141" i="1" s="1"/>
  <c r="G140" i="1"/>
  <c r="K140" i="1" s="1"/>
  <c r="L140" i="1" s="1"/>
  <c r="E139" i="1"/>
  <c r="N137" i="1"/>
  <c r="E137" i="1"/>
  <c r="C137" i="1"/>
  <c r="G136" i="1"/>
  <c r="P136" i="1" s="1"/>
  <c r="G135" i="1"/>
  <c r="O133" i="1"/>
  <c r="M133" i="1"/>
  <c r="E133" i="1"/>
  <c r="C133" i="1"/>
  <c r="G132" i="1"/>
  <c r="G131" i="1"/>
  <c r="G130" i="1"/>
  <c r="G129" i="1"/>
  <c r="G128" i="1"/>
  <c r="G127" i="1"/>
  <c r="K127" i="1" s="1"/>
  <c r="G126" i="1"/>
  <c r="F123" i="1"/>
  <c r="G123" i="1" s="1"/>
  <c r="K123" i="1" s="1"/>
  <c r="F122" i="1"/>
  <c r="G122" i="1" s="1"/>
  <c r="K122" i="1" s="1"/>
  <c r="N120" i="1"/>
  <c r="C120" i="1"/>
  <c r="E119" i="1"/>
  <c r="P119" i="1" s="1"/>
  <c r="F118" i="1"/>
  <c r="G118" i="1" s="1"/>
  <c r="E117" i="1"/>
  <c r="F117" i="1" s="1"/>
  <c r="G117" i="1" s="1"/>
  <c r="K117" i="1" s="1"/>
  <c r="E116" i="1"/>
  <c r="F116" i="1" s="1"/>
  <c r="E113" i="1"/>
  <c r="F113" i="1" s="1"/>
  <c r="G113" i="1" s="1"/>
  <c r="I113" i="1" s="1"/>
  <c r="E112" i="1"/>
  <c r="F112" i="1" s="1"/>
  <c r="G112" i="1" s="1"/>
  <c r="K112" i="1" s="1"/>
  <c r="F111" i="1"/>
  <c r="G111" i="1" s="1"/>
  <c r="K111" i="1" s="1"/>
  <c r="F110" i="1"/>
  <c r="C108" i="1"/>
  <c r="G107" i="1"/>
  <c r="P107" i="1" s="1"/>
  <c r="G106" i="1"/>
  <c r="P106" i="1" s="1"/>
  <c r="F105" i="1"/>
  <c r="G105" i="1" s="1"/>
  <c r="E104" i="1"/>
  <c r="G104" i="1" s="1"/>
  <c r="G103" i="1"/>
  <c r="G102" i="1"/>
  <c r="K102" i="1" s="1"/>
  <c r="F101" i="1"/>
  <c r="G101" i="1" s="1"/>
  <c r="E100" i="1"/>
  <c r="G100" i="1" s="1"/>
  <c r="K100" i="1" s="1"/>
  <c r="G99" i="1"/>
  <c r="K99" i="1" s="1"/>
  <c r="E98" i="1"/>
  <c r="G98" i="1" s="1"/>
  <c r="K98" i="1" s="1"/>
  <c r="E97" i="1"/>
  <c r="G97" i="1" s="1"/>
  <c r="K97" i="1" s="1"/>
  <c r="G96" i="1"/>
  <c r="K96" i="1" s="1"/>
  <c r="G95" i="1"/>
  <c r="K95" i="1" s="1"/>
  <c r="G94" i="1"/>
  <c r="K94" i="1" s="1"/>
  <c r="G93" i="1"/>
  <c r="K93" i="1" s="1"/>
  <c r="G92" i="1"/>
  <c r="K92" i="1" s="1"/>
  <c r="E91" i="1"/>
  <c r="G91" i="1" s="1"/>
  <c r="K91" i="1" s="1"/>
  <c r="F90" i="1"/>
  <c r="G90" i="1" s="1"/>
  <c r="G89" i="1"/>
  <c r="K89" i="1" s="1"/>
  <c r="F88" i="1"/>
  <c r="G88" i="1" s="1"/>
  <c r="F87" i="1"/>
  <c r="G87" i="1" s="1"/>
  <c r="K87" i="1" s="1"/>
  <c r="E86" i="1"/>
  <c r="G85" i="1"/>
  <c r="K85" i="1" s="1"/>
  <c r="G84" i="1"/>
  <c r="K84" i="1" s="1"/>
  <c r="F83" i="1"/>
  <c r="G83" i="1" s="1"/>
  <c r="K83" i="1" s="1"/>
  <c r="G82" i="1"/>
  <c r="K82" i="1" s="1"/>
  <c r="F81" i="1"/>
  <c r="G81" i="1" s="1"/>
  <c r="K81" i="1" s="1"/>
  <c r="C79" i="1"/>
  <c r="G78" i="1"/>
  <c r="P78" i="1" s="1"/>
  <c r="R78" i="1" s="1"/>
  <c r="S78" i="1" s="1"/>
  <c r="G77" i="1"/>
  <c r="G76" i="1"/>
  <c r="G75" i="1"/>
  <c r="K75" i="1" s="1"/>
  <c r="N74" i="1"/>
  <c r="G74" i="1"/>
  <c r="F73" i="1"/>
  <c r="G73" i="1" s="1"/>
  <c r="K73" i="1" s="1"/>
  <c r="E72" i="1"/>
  <c r="G72" i="1" s="1"/>
  <c r="K72" i="1" s="1"/>
  <c r="N71" i="1"/>
  <c r="E71" i="1"/>
  <c r="G71" i="1" s="1"/>
  <c r="K71" i="1" s="1"/>
  <c r="E70" i="1"/>
  <c r="G70" i="1" s="1"/>
  <c r="K70" i="1" s="1"/>
  <c r="E69" i="1"/>
  <c r="G69" i="1" s="1"/>
  <c r="K69" i="1" s="1"/>
  <c r="E68" i="1"/>
  <c r="G68" i="1" s="1"/>
  <c r="K68" i="1" s="1"/>
  <c r="E67" i="1"/>
  <c r="G67" i="1" s="1"/>
  <c r="K67" i="1" s="1"/>
  <c r="N66" i="1"/>
  <c r="E66" i="1"/>
  <c r="G66" i="1" s="1"/>
  <c r="K66" i="1" s="1"/>
  <c r="E65" i="1"/>
  <c r="G65" i="1" s="1"/>
  <c r="K65" i="1" s="1"/>
  <c r="G64" i="1"/>
  <c r="K64" i="1" s="1"/>
  <c r="G63" i="1"/>
  <c r="K63" i="1" s="1"/>
  <c r="E62" i="1"/>
  <c r="F61" i="1"/>
  <c r="G61" i="1" s="1"/>
  <c r="K61" i="1" s="1"/>
  <c r="Q58" i="1"/>
  <c r="G57" i="1"/>
  <c r="P57" i="1" s="1"/>
  <c r="P58" i="1" s="1"/>
  <c r="F56" i="1"/>
  <c r="G56" i="1" s="1"/>
  <c r="F55" i="1"/>
  <c r="G55" i="1" s="1"/>
  <c r="K55" i="1" s="1"/>
  <c r="E54" i="1"/>
  <c r="C52" i="1"/>
  <c r="G51" i="1"/>
  <c r="G50" i="1"/>
  <c r="P50" i="1" s="1"/>
  <c r="O49" i="1"/>
  <c r="R49" i="1" s="1"/>
  <c r="S49" i="1" s="1"/>
  <c r="K48" i="1"/>
  <c r="E46" i="1"/>
  <c r="E44" i="1"/>
  <c r="C44" i="1"/>
  <c r="G43" i="1"/>
  <c r="P43" i="1" s="1"/>
  <c r="G42" i="1"/>
  <c r="P41" i="1"/>
  <c r="R41" i="1" s="1"/>
  <c r="S41" i="1" s="1"/>
  <c r="E39" i="1"/>
  <c r="C39" i="1"/>
  <c r="G38" i="1"/>
  <c r="P38" i="1" s="1"/>
  <c r="I36" i="1"/>
  <c r="E36" i="1"/>
  <c r="C36" i="1"/>
  <c r="G35" i="1"/>
  <c r="P35" i="1" s="1"/>
  <c r="R35" i="1" s="1"/>
  <c r="S35" i="1" s="1"/>
  <c r="G34" i="1"/>
  <c r="P34" i="1" s="1"/>
  <c r="P33" i="1"/>
  <c r="F33" i="1"/>
  <c r="F36" i="1" s="1"/>
  <c r="G32" i="1"/>
  <c r="P32" i="1" s="1"/>
  <c r="G31" i="1"/>
  <c r="P31" i="1" s="1"/>
  <c r="G30" i="1"/>
  <c r="G29" i="1"/>
  <c r="P29" i="1" s="1"/>
  <c r="C27" i="1"/>
  <c r="G26" i="1"/>
  <c r="G25" i="1"/>
  <c r="G24" i="1"/>
  <c r="O24" i="1" s="1"/>
  <c r="G23" i="1"/>
  <c r="H23" i="1" s="1"/>
  <c r="G22" i="1"/>
  <c r="G21" i="1"/>
  <c r="O21" i="1" s="1"/>
  <c r="G20" i="1"/>
  <c r="H20" i="1" s="1"/>
  <c r="R20" i="1" s="1"/>
  <c r="S20" i="1" s="1"/>
  <c r="G19" i="1"/>
  <c r="H19" i="1" s="1"/>
  <c r="R19" i="1" s="1"/>
  <c r="E18" i="1"/>
  <c r="G18" i="1" s="1"/>
  <c r="G17" i="1"/>
  <c r="O17" i="1" s="1"/>
  <c r="E16" i="1"/>
  <c r="E15" i="1"/>
  <c r="O14" i="1"/>
  <c r="M14" i="1"/>
  <c r="S19" i="1" l="1"/>
  <c r="R27" i="1"/>
  <c r="P213" i="1"/>
  <c r="R213" i="1" s="1"/>
  <c r="S213" i="1" s="1"/>
  <c r="K170" i="1"/>
  <c r="L170" i="1" s="1"/>
  <c r="R170" i="1" s="1"/>
  <c r="S170" i="1" s="1"/>
  <c r="K147" i="1"/>
  <c r="L147" i="1" s="1"/>
  <c r="K135" i="1"/>
  <c r="L135" i="1" s="1"/>
  <c r="R135" i="1" s="1"/>
  <c r="S135" i="1" s="1"/>
  <c r="I132" i="1"/>
  <c r="P132" i="1"/>
  <c r="R132" i="1" s="1"/>
  <c r="S132" i="1" s="1"/>
  <c r="K129" i="1"/>
  <c r="K118" i="1"/>
  <c r="K105" i="1"/>
  <c r="L105" i="1" s="1"/>
  <c r="R105" i="1" s="1"/>
  <c r="S105" i="1" s="1"/>
  <c r="K104" i="1"/>
  <c r="G222" i="1"/>
  <c r="I225" i="1"/>
  <c r="R225" i="1" s="1"/>
  <c r="S225" i="1" s="1"/>
  <c r="S226" i="1" s="1"/>
  <c r="K103" i="1"/>
  <c r="L103" i="1" s="1"/>
  <c r="R103" i="1" s="1"/>
  <c r="S103" i="1" s="1"/>
  <c r="K88" i="1"/>
  <c r="L88" i="1" s="1"/>
  <c r="I76" i="1"/>
  <c r="P76" i="1"/>
  <c r="K74" i="1"/>
  <c r="J42" i="1"/>
  <c r="J44" i="1" s="1"/>
  <c r="P42" i="1"/>
  <c r="G39" i="1"/>
  <c r="G203" i="1"/>
  <c r="P194" i="1"/>
  <c r="G218" i="1"/>
  <c r="I74" i="1"/>
  <c r="P187" i="1"/>
  <c r="P189" i="1" s="1"/>
  <c r="G214" i="1"/>
  <c r="G166" i="1"/>
  <c r="K166" i="1" s="1"/>
  <c r="P184" i="1"/>
  <c r="P137" i="1"/>
  <c r="G137" i="1"/>
  <c r="H24" i="1"/>
  <c r="R24" i="1" s="1"/>
  <c r="S24" i="1" s="1"/>
  <c r="R73" i="1"/>
  <c r="S73" i="1" s="1"/>
  <c r="P149" i="1"/>
  <c r="P150" i="1" s="1"/>
  <c r="K167" i="1"/>
  <c r="L167" i="1" s="1"/>
  <c r="R167" i="1" s="1"/>
  <c r="S167" i="1" s="1"/>
  <c r="G208" i="1"/>
  <c r="I211" i="1"/>
  <c r="L211" i="1" s="1"/>
  <c r="R211" i="1" s="1"/>
  <c r="S211" i="1" s="1"/>
  <c r="R14" i="1"/>
  <c r="S14" i="1" s="1"/>
  <c r="I102" i="1"/>
  <c r="L102" i="1" s="1"/>
  <c r="R102" i="1" s="1"/>
  <c r="S102" i="1" s="1"/>
  <c r="G152" i="1"/>
  <c r="K153" i="1"/>
  <c r="P177" i="1"/>
  <c r="P178" i="1" s="1"/>
  <c r="O23" i="1"/>
  <c r="R23" i="1" s="1"/>
  <c r="S23" i="1" s="1"/>
  <c r="H21" i="1"/>
  <c r="R21" i="1" s="1"/>
  <c r="S21" i="1" s="1"/>
  <c r="K90" i="1"/>
  <c r="L90" i="1" s="1"/>
  <c r="R90" i="1" s="1"/>
  <c r="S90" i="1" s="1"/>
  <c r="K101" i="1"/>
  <c r="L101" i="1" s="1"/>
  <c r="K56" i="1"/>
  <c r="L56" i="1" s="1"/>
  <c r="R56" i="1" s="1"/>
  <c r="S56" i="1" s="1"/>
  <c r="I178" i="1"/>
  <c r="G44" i="1"/>
  <c r="L63" i="1"/>
  <c r="R63" i="1" s="1"/>
  <c r="S63" i="1" s="1"/>
  <c r="I75" i="1"/>
  <c r="L75" i="1" s="1"/>
  <c r="R75" i="1" s="1"/>
  <c r="S75" i="1" s="1"/>
  <c r="F114" i="1"/>
  <c r="I129" i="1"/>
  <c r="R136" i="1"/>
  <c r="I141" i="1"/>
  <c r="I144" i="1" s="1"/>
  <c r="F146" i="1"/>
  <c r="F150" i="1" s="1"/>
  <c r="G150" i="1" s="1"/>
  <c r="P155" i="1"/>
  <c r="P157" i="1" s="1"/>
  <c r="L176" i="1"/>
  <c r="R176" i="1" s="1"/>
  <c r="S176" i="1" s="1"/>
  <c r="I182" i="1"/>
  <c r="I184" i="1" s="1"/>
  <c r="G199" i="1"/>
  <c r="C233" i="1"/>
  <c r="P39" i="1"/>
  <c r="F79" i="1"/>
  <c r="G157" i="1"/>
  <c r="O18" i="1"/>
  <c r="R18" i="1" s="1"/>
  <c r="S18" i="1" s="1"/>
  <c r="M27" i="1"/>
  <c r="M227" i="1" s="1"/>
  <c r="R34" i="1"/>
  <c r="S34" i="1" s="1"/>
  <c r="R50" i="1"/>
  <c r="S50" i="1" s="1"/>
  <c r="L64" i="1"/>
  <c r="R64" i="1" s="1"/>
  <c r="S64" i="1" s="1"/>
  <c r="L68" i="1"/>
  <c r="P120" i="1"/>
  <c r="R142" i="1"/>
  <c r="S142" i="1" s="1"/>
  <c r="F159" i="1"/>
  <c r="F164" i="1" s="1"/>
  <c r="G194" i="1"/>
  <c r="G226" i="1"/>
  <c r="L87" i="1"/>
  <c r="G36" i="1"/>
  <c r="O26" i="1"/>
  <c r="H26" i="1"/>
  <c r="R38" i="1"/>
  <c r="S38" i="1" s="1"/>
  <c r="S39" i="1" s="1"/>
  <c r="G46" i="1"/>
  <c r="E52" i="1"/>
  <c r="L83" i="1"/>
  <c r="R83" i="1" s="1"/>
  <c r="S83" i="1" s="1"/>
  <c r="L93" i="1"/>
  <c r="R93" i="1" s="1"/>
  <c r="S93" i="1" s="1"/>
  <c r="O22" i="1"/>
  <c r="L100" i="1"/>
  <c r="R100" i="1" s="1"/>
  <c r="S100" i="1" s="1"/>
  <c r="O25" i="1"/>
  <c r="K51" i="1"/>
  <c r="L51" i="1" s="1"/>
  <c r="R51" i="1" s="1"/>
  <c r="S51" i="1" s="1"/>
  <c r="O52" i="1"/>
  <c r="L55" i="1"/>
  <c r="R55" i="1" s="1"/>
  <c r="S55" i="1" s="1"/>
  <c r="G116" i="1"/>
  <c r="K116" i="1" s="1"/>
  <c r="E120" i="1"/>
  <c r="P171" i="1"/>
  <c r="I171" i="1"/>
  <c r="I173" i="1" s="1"/>
  <c r="E178" i="1"/>
  <c r="F175" i="1"/>
  <c r="F178" i="1" s="1"/>
  <c r="R15" i="1"/>
  <c r="S15" i="1" s="1"/>
  <c r="G15" i="1"/>
  <c r="K17" i="1"/>
  <c r="H17" i="1"/>
  <c r="H25" i="1"/>
  <c r="R32" i="1"/>
  <c r="S32" i="1" s="1"/>
  <c r="G33" i="1"/>
  <c r="F54" i="1"/>
  <c r="E58" i="1"/>
  <c r="L65" i="1"/>
  <c r="P77" i="1"/>
  <c r="R77" i="1" s="1"/>
  <c r="S77" i="1" s="1"/>
  <c r="L82" i="1"/>
  <c r="R82" i="1" s="1"/>
  <c r="S82" i="1" s="1"/>
  <c r="L84" i="1"/>
  <c r="R84" i="1" s="1"/>
  <c r="S84" i="1" s="1"/>
  <c r="G86" i="1"/>
  <c r="K86" i="1" s="1"/>
  <c r="E108" i="1"/>
  <c r="L91" i="1"/>
  <c r="R91" i="1" s="1"/>
  <c r="S91" i="1" s="1"/>
  <c r="L94" i="1"/>
  <c r="R94" i="1" s="1"/>
  <c r="S94" i="1" s="1"/>
  <c r="L97" i="1"/>
  <c r="R97" i="1" s="1"/>
  <c r="S97" i="1" s="1"/>
  <c r="I104" i="1"/>
  <c r="F108" i="1"/>
  <c r="I112" i="1"/>
  <c r="L112" i="1" s="1"/>
  <c r="L117" i="1"/>
  <c r="R117" i="1" s="1"/>
  <c r="S117" i="1" s="1"/>
  <c r="K130" i="1"/>
  <c r="L130" i="1" s="1"/>
  <c r="R130" i="1" s="1"/>
  <c r="S130" i="1" s="1"/>
  <c r="L148" i="1"/>
  <c r="R148" i="1" s="1"/>
  <c r="S148" i="1" s="1"/>
  <c r="R16" i="1"/>
  <c r="S16" i="1" s="1"/>
  <c r="G16" i="1"/>
  <c r="L48" i="1"/>
  <c r="R48" i="1" s="1"/>
  <c r="S48" i="1" s="1"/>
  <c r="L81" i="1"/>
  <c r="H22" i="1"/>
  <c r="E27" i="1"/>
  <c r="R29" i="1"/>
  <c r="S29" i="1" s="1"/>
  <c r="R31" i="1"/>
  <c r="S31" i="1" s="1"/>
  <c r="P52" i="1"/>
  <c r="R47" i="1"/>
  <c r="S47" i="1" s="1"/>
  <c r="E79" i="1"/>
  <c r="L66" i="1"/>
  <c r="R66" i="1" s="1"/>
  <c r="S66" i="1" s="1"/>
  <c r="L67" i="1"/>
  <c r="L69" i="1"/>
  <c r="L72" i="1"/>
  <c r="R72" i="1" s="1"/>
  <c r="S72" i="1" s="1"/>
  <c r="L95" i="1"/>
  <c r="R95" i="1" s="1"/>
  <c r="S95" i="1" s="1"/>
  <c r="R106" i="1"/>
  <c r="S106" i="1" s="1"/>
  <c r="I118" i="1"/>
  <c r="I189" i="1"/>
  <c r="L92" i="1"/>
  <c r="R92" i="1" s="1"/>
  <c r="S92" i="1" s="1"/>
  <c r="L96" i="1"/>
  <c r="R96" i="1" s="1"/>
  <c r="S96" i="1" s="1"/>
  <c r="L98" i="1"/>
  <c r="L111" i="1"/>
  <c r="R111" i="1" s="1"/>
  <c r="S111" i="1" s="1"/>
  <c r="K126" i="1"/>
  <c r="L126" i="1" s="1"/>
  <c r="K131" i="1"/>
  <c r="L160" i="1"/>
  <c r="R160" i="1" s="1"/>
  <c r="S160" i="1" s="1"/>
  <c r="L122" i="1"/>
  <c r="R122" i="1" s="1"/>
  <c r="G133" i="1"/>
  <c r="K128" i="1"/>
  <c r="L128" i="1" s="1"/>
  <c r="K154" i="1"/>
  <c r="L154" i="1" s="1"/>
  <c r="I43" i="1"/>
  <c r="R57" i="1"/>
  <c r="S57" i="1" s="1"/>
  <c r="G62" i="1"/>
  <c r="K62" i="1" s="1"/>
  <c r="N79" i="1"/>
  <c r="N227" i="1" s="1"/>
  <c r="R68" i="1"/>
  <c r="S68" i="1" s="1"/>
  <c r="L89" i="1"/>
  <c r="R89" i="1" s="1"/>
  <c r="S89" i="1" s="1"/>
  <c r="L99" i="1"/>
  <c r="R99" i="1" s="1"/>
  <c r="S99" i="1" s="1"/>
  <c r="I107" i="1"/>
  <c r="R107" i="1" s="1"/>
  <c r="S107" i="1" s="1"/>
  <c r="L123" i="1"/>
  <c r="R123" i="1" s="1"/>
  <c r="S123" i="1" s="1"/>
  <c r="L127" i="1"/>
  <c r="R127" i="1" s="1"/>
  <c r="S127" i="1" s="1"/>
  <c r="P143" i="1"/>
  <c r="P144" i="1" s="1"/>
  <c r="K184" i="1"/>
  <c r="P202" i="1"/>
  <c r="P203" i="1" s="1"/>
  <c r="I202" i="1"/>
  <c r="I203" i="1" s="1"/>
  <c r="K218" i="1"/>
  <c r="L216" i="1"/>
  <c r="L218" i="1" s="1"/>
  <c r="P113" i="1"/>
  <c r="P114" i="1" s="1"/>
  <c r="E114" i="1"/>
  <c r="F119" i="1"/>
  <c r="G119" i="1" s="1"/>
  <c r="E144" i="1"/>
  <c r="L161" i="1"/>
  <c r="R161" i="1" s="1"/>
  <c r="S161" i="1" s="1"/>
  <c r="K168" i="1"/>
  <c r="L168" i="1" s="1"/>
  <c r="R168" i="1" s="1"/>
  <c r="S168" i="1" s="1"/>
  <c r="K208" i="1"/>
  <c r="L205" i="1"/>
  <c r="L208" i="1" s="1"/>
  <c r="G110" i="1"/>
  <c r="F133" i="1"/>
  <c r="F139" i="1"/>
  <c r="F144" i="1" s="1"/>
  <c r="R140" i="1"/>
  <c r="S140" i="1" s="1"/>
  <c r="K196" i="1"/>
  <c r="K199" i="1" s="1"/>
  <c r="K214" i="1"/>
  <c r="L210" i="1"/>
  <c r="P163" i="1"/>
  <c r="R163" i="1" s="1"/>
  <c r="S163" i="1" s="1"/>
  <c r="K178" i="1"/>
  <c r="P206" i="1"/>
  <c r="P208" i="1" s="1"/>
  <c r="I206" i="1"/>
  <c r="I208" i="1" s="1"/>
  <c r="P214" i="1"/>
  <c r="P217" i="1"/>
  <c r="P218" i="1" s="1"/>
  <c r="I217" i="1"/>
  <c r="I218" i="1" s="1"/>
  <c r="K222" i="1"/>
  <c r="L220" i="1"/>
  <c r="L222" i="1" s="1"/>
  <c r="P162" i="1"/>
  <c r="K191" i="1"/>
  <c r="K194" i="1" s="1"/>
  <c r="P199" i="1"/>
  <c r="K203" i="1"/>
  <c r="L201" i="1"/>
  <c r="L203" i="1" s="1"/>
  <c r="P221" i="1"/>
  <c r="P222" i="1" s="1"/>
  <c r="I221" i="1"/>
  <c r="K226" i="1"/>
  <c r="L224" i="1"/>
  <c r="L226" i="1" s="1"/>
  <c r="K169" i="1"/>
  <c r="P172" i="1"/>
  <c r="R172" i="1" s="1"/>
  <c r="S172" i="1" s="1"/>
  <c r="E173" i="1"/>
  <c r="G173" i="1" s="1"/>
  <c r="K186" i="1"/>
  <c r="I192" i="1"/>
  <c r="I197" i="1"/>
  <c r="I212" i="1"/>
  <c r="R212" i="1" s="1"/>
  <c r="S212" i="1" s="1"/>
  <c r="S136" i="1" l="1"/>
  <c r="R137" i="1"/>
  <c r="L129" i="1"/>
  <c r="R129" i="1" s="1"/>
  <c r="S129" i="1" s="1"/>
  <c r="L153" i="1"/>
  <c r="R153" i="1" s="1"/>
  <c r="S153" i="1" s="1"/>
  <c r="K152" i="1"/>
  <c r="L152" i="1" s="1"/>
  <c r="R147" i="1"/>
  <c r="S147" i="1" s="1"/>
  <c r="I226" i="1"/>
  <c r="R187" i="1"/>
  <c r="S187" i="1" s="1"/>
  <c r="L104" i="1"/>
  <c r="R104" i="1" s="1"/>
  <c r="S104" i="1" s="1"/>
  <c r="R118" i="1"/>
  <c r="S118" i="1" s="1"/>
  <c r="L74" i="1"/>
  <c r="R74" i="1" s="1"/>
  <c r="S74" i="1" s="1"/>
  <c r="R42" i="1"/>
  <c r="S42" i="1" s="1"/>
  <c r="R141" i="1"/>
  <c r="S141" i="1" s="1"/>
  <c r="R22" i="1"/>
  <c r="S22" i="1" s="1"/>
  <c r="P79" i="1"/>
  <c r="R26" i="1"/>
  <c r="S26" i="1" s="1"/>
  <c r="R39" i="1"/>
  <c r="R182" i="1"/>
  <c r="S182" i="1" s="1"/>
  <c r="S184" i="1" s="1"/>
  <c r="G114" i="1"/>
  <c r="R155" i="1"/>
  <c r="S155" i="1" s="1"/>
  <c r="P133" i="1"/>
  <c r="R177" i="1"/>
  <c r="S177" i="1" s="1"/>
  <c r="R149" i="1"/>
  <c r="S149" i="1" s="1"/>
  <c r="R76" i="1"/>
  <c r="S76" i="1" s="1"/>
  <c r="R171" i="1"/>
  <c r="S171" i="1" s="1"/>
  <c r="P36" i="1"/>
  <c r="G159" i="1"/>
  <c r="K159" i="1" s="1"/>
  <c r="K164" i="1" s="1"/>
  <c r="R101" i="1"/>
  <c r="S101" i="1" s="1"/>
  <c r="R30" i="1"/>
  <c r="S214" i="1"/>
  <c r="P164" i="1"/>
  <c r="G139" i="1"/>
  <c r="K139" i="1" s="1"/>
  <c r="K144" i="1" s="1"/>
  <c r="I108" i="1"/>
  <c r="G108" i="1"/>
  <c r="R25" i="1"/>
  <c r="S25" i="1" s="1"/>
  <c r="G27" i="1"/>
  <c r="G178" i="1"/>
  <c r="O27" i="1"/>
  <c r="O227" i="1" s="1"/>
  <c r="F120" i="1"/>
  <c r="R224" i="1"/>
  <c r="G144" i="1"/>
  <c r="G146" i="1"/>
  <c r="K146" i="1" s="1"/>
  <c r="K150" i="1" s="1"/>
  <c r="I133" i="1"/>
  <c r="R143" i="1"/>
  <c r="S143" i="1" s="1"/>
  <c r="R154" i="1"/>
  <c r="S154" i="1" s="1"/>
  <c r="K133" i="1"/>
  <c r="R126" i="1"/>
  <c r="S126" i="1" s="1"/>
  <c r="I119" i="1"/>
  <c r="R119" i="1" s="1"/>
  <c r="K108" i="1"/>
  <c r="I194" i="1"/>
  <c r="R192" i="1"/>
  <c r="S192" i="1" s="1"/>
  <c r="R221" i="1"/>
  <c r="S221" i="1" s="1"/>
  <c r="I222" i="1"/>
  <c r="I214" i="1"/>
  <c r="L169" i="1"/>
  <c r="R169" i="1" s="1"/>
  <c r="S169" i="1" s="1"/>
  <c r="R162" i="1"/>
  <c r="S162" i="1" s="1"/>
  <c r="R206" i="1"/>
  <c r="S206" i="1" s="1"/>
  <c r="L196" i="1"/>
  <c r="L199" i="1" s="1"/>
  <c r="K110" i="1"/>
  <c r="K114" i="1" s="1"/>
  <c r="I110" i="1"/>
  <c r="I114" i="1" s="1"/>
  <c r="P44" i="1"/>
  <c r="R128" i="1"/>
  <c r="S128" i="1" s="1"/>
  <c r="R113" i="1"/>
  <c r="S113" i="1" s="1"/>
  <c r="L71" i="1"/>
  <c r="R71" i="1" s="1"/>
  <c r="S71" i="1" s="1"/>
  <c r="R112" i="1"/>
  <c r="S112" i="1" s="1"/>
  <c r="L70" i="1"/>
  <c r="R70" i="1" s="1"/>
  <c r="S70" i="1" s="1"/>
  <c r="J33" i="1"/>
  <c r="J36" i="1" s="1"/>
  <c r="J227" i="1" s="1"/>
  <c r="G175" i="1"/>
  <c r="L85" i="1"/>
  <c r="R85" i="1" s="1"/>
  <c r="S85" i="1" s="1"/>
  <c r="G52" i="1"/>
  <c r="K46" i="1"/>
  <c r="K52" i="1" s="1"/>
  <c r="I199" i="1"/>
  <c r="R197" i="1"/>
  <c r="S197" i="1" s="1"/>
  <c r="S122" i="1"/>
  <c r="K189" i="1"/>
  <c r="K173" i="1"/>
  <c r="L214" i="1"/>
  <c r="K137" i="1"/>
  <c r="L137" i="1"/>
  <c r="R202" i="1"/>
  <c r="S202" i="1" s="1"/>
  <c r="S203" i="1" s="1"/>
  <c r="I79" i="1"/>
  <c r="L131" i="1"/>
  <c r="R131" i="1" s="1"/>
  <c r="R98" i="1"/>
  <c r="S98" i="1" s="1"/>
  <c r="G79" i="1"/>
  <c r="R67" i="1"/>
  <c r="S67" i="1" s="1"/>
  <c r="H27" i="1"/>
  <c r="H227" i="1" s="1"/>
  <c r="R65" i="1"/>
  <c r="S65" i="1" s="1"/>
  <c r="E233" i="1"/>
  <c r="E235" i="1" s="1"/>
  <c r="R87" i="1"/>
  <c r="S87" i="1" s="1"/>
  <c r="L86" i="1"/>
  <c r="R86" i="1" s="1"/>
  <c r="S86" i="1" s="1"/>
  <c r="L116" i="1"/>
  <c r="R116" i="1" s="1"/>
  <c r="G120" i="1"/>
  <c r="L191" i="1"/>
  <c r="L166" i="1"/>
  <c r="R220" i="1"/>
  <c r="S220" i="1" s="1"/>
  <c r="R217" i="1"/>
  <c r="S217" i="1" s="1"/>
  <c r="S218" i="1" s="1"/>
  <c r="L186" i="1"/>
  <c r="L189" i="1" s="1"/>
  <c r="R205" i="1"/>
  <c r="S205" i="1" s="1"/>
  <c r="L61" i="1"/>
  <c r="R61" i="1" s="1"/>
  <c r="I44" i="1"/>
  <c r="R43" i="1"/>
  <c r="S43" i="1" s="1"/>
  <c r="P108" i="1"/>
  <c r="R88" i="1"/>
  <c r="S88" i="1" s="1"/>
  <c r="R69" i="1"/>
  <c r="S69" i="1" s="1"/>
  <c r="E227" i="1"/>
  <c r="R81" i="1"/>
  <c r="F58" i="1"/>
  <c r="G54" i="1"/>
  <c r="K27" i="1"/>
  <c r="R17" i="1"/>
  <c r="P173" i="1"/>
  <c r="S30" i="1" l="1"/>
  <c r="S232" i="1" s="1"/>
  <c r="R36" i="1"/>
  <c r="R227" i="1" s="1"/>
  <c r="R232" i="1"/>
  <c r="L157" i="1"/>
  <c r="K157" i="1"/>
  <c r="R152" i="1"/>
  <c r="S152" i="1" s="1"/>
  <c r="S157" i="1" s="1"/>
  <c r="G164" i="1"/>
  <c r="S44" i="1"/>
  <c r="L173" i="1"/>
  <c r="S208" i="1"/>
  <c r="F227" i="1"/>
  <c r="I120" i="1"/>
  <c r="I227" i="1" s="1"/>
  <c r="R196" i="1"/>
  <c r="S196" i="1" s="1"/>
  <c r="L110" i="1"/>
  <c r="L114" i="1" s="1"/>
  <c r="L159" i="1"/>
  <c r="L164" i="1" s="1"/>
  <c r="P227" i="1"/>
  <c r="S199" i="1"/>
  <c r="L108" i="1"/>
  <c r="S61" i="1"/>
  <c r="S116" i="1"/>
  <c r="S119" i="1"/>
  <c r="S131" i="1"/>
  <c r="S133" i="1" s="1"/>
  <c r="S17" i="1"/>
  <c r="L194" i="1"/>
  <c r="R191" i="1"/>
  <c r="S191" i="1" s="1"/>
  <c r="S194" i="1" s="1"/>
  <c r="L120" i="1"/>
  <c r="L62" i="1"/>
  <c r="R62" i="1" s="1"/>
  <c r="R166" i="1"/>
  <c r="S81" i="1"/>
  <c r="S108" i="1" s="1"/>
  <c r="G58" i="1"/>
  <c r="K54" i="1"/>
  <c r="K58" i="1" s="1"/>
  <c r="K79" i="1"/>
  <c r="S222" i="1"/>
  <c r="L133" i="1"/>
  <c r="L175" i="1"/>
  <c r="L178" i="1" s="1"/>
  <c r="K120" i="1"/>
  <c r="L139" i="1"/>
  <c r="R186" i="1"/>
  <c r="S186" i="1" s="1"/>
  <c r="S189" i="1" s="1"/>
  <c r="L46" i="1"/>
  <c r="R33" i="1"/>
  <c r="S33" i="1" s="1"/>
  <c r="S36" i="1" s="1"/>
  <c r="L146" i="1"/>
  <c r="G227" i="1" l="1"/>
  <c r="R110" i="1"/>
  <c r="S110" i="1" s="1"/>
  <c r="S114" i="1" s="1"/>
  <c r="R159" i="1"/>
  <c r="L54" i="1"/>
  <c r="L58" i="1" s="1"/>
  <c r="S120" i="1"/>
  <c r="K227" i="1"/>
  <c r="S62" i="1"/>
  <c r="L144" i="1"/>
  <c r="R139" i="1"/>
  <c r="S139" i="1" s="1"/>
  <c r="S144" i="1" s="1"/>
  <c r="S137" i="1"/>
  <c r="S159" i="1"/>
  <c r="S164" i="1" s="1"/>
  <c r="R58" i="1"/>
  <c r="L79" i="1"/>
  <c r="L150" i="1"/>
  <c r="R146" i="1"/>
  <c r="S146" i="1" s="1"/>
  <c r="S150" i="1" s="1"/>
  <c r="S166" i="1"/>
  <c r="S173" i="1" s="1"/>
  <c r="L52" i="1"/>
  <c r="R46" i="1"/>
  <c r="R175" i="1"/>
  <c r="S27" i="1"/>
  <c r="S227" i="1" s="1"/>
  <c r="S79" i="1"/>
  <c r="R54" i="1" l="1"/>
  <c r="S54" i="1" s="1"/>
  <c r="S58" i="1" s="1"/>
  <c r="L227" i="1"/>
  <c r="S46" i="1"/>
  <c r="S175" i="1"/>
  <c r="S178" i="1" s="1"/>
  <c r="R233" i="1" l="1"/>
  <c r="S233" i="1"/>
  <c r="S52" i="1"/>
  <c r="E236" i="1" s="1"/>
</calcChain>
</file>

<file path=xl/sharedStrings.xml><?xml version="1.0" encoding="utf-8"?>
<sst xmlns="http://schemas.openxmlformats.org/spreadsheetml/2006/main" count="412" uniqueCount="310">
  <si>
    <t>Код ЄДРПОУ 43923918</t>
  </si>
  <si>
    <t xml:space="preserve">ФОП за місяць становить 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</si>
  <si>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</si>
  <si>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</si>
  <si>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</si>
  <si>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 xml:space="preserve">станом на 01.01.2025 року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</si>
  <si>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</si>
  <si>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</si>
  <si>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</si>
  <si>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</si>
  <si>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</si>
  <si>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</si>
  <si>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</si>
  <si>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</si>
  <si>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</si>
  <si>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</si>
  <si>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</si>
  <si>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</si>
  <si>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</si>
  <si>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t>Фонд з/п з 01.01.2025-31.12.2025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</si>
  <si>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</si>
  <si>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</si>
  <si>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</si>
  <si>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</si>
  <si>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</si>
  <si>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</si>
  <si>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</si>
  <si>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</si>
  <si>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</si>
  <si>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</si>
  <si>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</si>
  <si>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</si>
  <si>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</si>
  <si>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</si>
  <si>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</si>
  <si>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</si>
  <si>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</si>
  <si>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</si>
  <si>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</si>
  <si>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</si>
  <si>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</si>
  <si>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</si>
  <si>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</si>
  <si>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</si>
  <si>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</si>
  <si>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</si>
  <si>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</si>
  <si>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</si>
  <si>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</si>
  <si>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</si>
  <si>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</si>
  <si>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</si>
  <si>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</si>
  <si>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</si>
  <si>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</si>
  <si>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</si>
  <si>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</si>
  <si>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</si>
  <si>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</si>
  <si>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15</t>
  </si>
  <si>
    <t>Комірник</t>
  </si>
  <si>
    <t>16</t>
  </si>
  <si>
    <t>Слюсар-сантехнік</t>
  </si>
  <si>
    <t>17</t>
  </si>
  <si>
    <t>Робітник з комплексного обслуговування й ремонту будинків</t>
  </si>
  <si>
    <t>18</t>
  </si>
  <si>
    <t>Машиніст із прання та ремонту спецодягу</t>
  </si>
  <si>
    <t>20</t>
  </si>
  <si>
    <t>Прибиральник територій</t>
  </si>
  <si>
    <t>21</t>
  </si>
  <si>
    <t>Електромонтер з ремонту та обслуговування електроустаткування</t>
  </si>
  <si>
    <t>2.1 ГАРАЖ</t>
  </si>
  <si>
    <t xml:space="preserve">              </t>
  </si>
  <si>
    <t>22</t>
  </si>
  <si>
    <t>Водій автотранспортних засобів</t>
  </si>
  <si>
    <t xml:space="preserve"> 2.2 Харчоблок</t>
  </si>
  <si>
    <t>25</t>
  </si>
  <si>
    <t>26</t>
  </si>
  <si>
    <t>Кухар</t>
  </si>
  <si>
    <t>27</t>
  </si>
  <si>
    <t>Кухонний робітник</t>
  </si>
  <si>
    <t>3. ЗАГАЛЬНО ЛІКАРНЯНИЙ ВІДДІЛ</t>
  </si>
  <si>
    <t>28</t>
  </si>
  <si>
    <t>Психолог</t>
  </si>
  <si>
    <t>29</t>
  </si>
  <si>
    <t xml:space="preserve">Лікар - інтерн </t>
  </si>
  <si>
    <t>32</t>
  </si>
  <si>
    <t xml:space="preserve">Сестра медична </t>
  </si>
  <si>
    <t>33</t>
  </si>
  <si>
    <t xml:space="preserve">Адміністратор </t>
  </si>
  <si>
    <t>34</t>
  </si>
  <si>
    <t>Регістратор медичний</t>
  </si>
  <si>
    <t>35</t>
  </si>
  <si>
    <t>Сестра медична з дієтичного харчування</t>
  </si>
  <si>
    <t>3.1. Відділ інфекційного контролю</t>
  </si>
  <si>
    <t>36</t>
  </si>
  <si>
    <t xml:space="preserve">Завідувач </t>
  </si>
  <si>
    <t>37</t>
  </si>
  <si>
    <t>Лікар-епідеміолог</t>
  </si>
  <si>
    <t>38</t>
  </si>
  <si>
    <t>Лікар-інфекціоніст</t>
  </si>
  <si>
    <t>39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</si>
  <si>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</si>
  <si>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</si>
  <si>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</si>
  <si>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40</t>
  </si>
  <si>
    <t>Завідувач</t>
  </si>
  <si>
    <t>41</t>
  </si>
  <si>
    <t>Лікар-терапевт</t>
  </si>
  <si>
    <t>42</t>
  </si>
  <si>
    <t>Лікар-невропатолог</t>
  </si>
  <si>
    <t>43</t>
  </si>
  <si>
    <t>Лікар-анестезіолог дитячий</t>
  </si>
  <si>
    <t>44</t>
  </si>
  <si>
    <t>Лікар-анестезіолог</t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</si>
  <si>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</si>
  <si>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</si>
  <si>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</si>
  <si>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</si>
  <si>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</si>
  <si>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</si>
  <si>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</si>
  <si>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r>
      <rPr>
        <b/>
        <sz val="9"/>
        <rFont val="Times New Roman"/>
        <family val="1"/>
        <charset val="204"/>
      </rPr>
      <t xml:space="preserve">Черговий лікар: </t>
    </r>
    <r>
      <rPr>
        <sz val="9"/>
        <rFont val="Times New Roman"/>
        <family val="1"/>
        <charset val="204"/>
      </rPr>
      <t>лікар-невролог дитячий</t>
    </r>
  </si>
  <si>
    <t>46</t>
  </si>
  <si>
    <t>Сестра медична старша</t>
  </si>
  <si>
    <t>48</t>
  </si>
  <si>
    <t>Сестра медична</t>
  </si>
  <si>
    <t>49</t>
  </si>
  <si>
    <t>Сестра медична стаціонару (маніпуляційка)</t>
  </si>
  <si>
    <t>50</t>
  </si>
  <si>
    <t>Молодша медична сестра</t>
  </si>
  <si>
    <t>51</t>
  </si>
  <si>
    <t>Молодша медична сестра(санітарка-буфетниця)</t>
  </si>
  <si>
    <t>52</t>
  </si>
  <si>
    <t>Сестра-господиня</t>
  </si>
  <si>
    <t>4.2. КОНСУЛЬТАТИВНО-ДІАГНОСТИЧНЕ ВІДДІЛЕННЯ</t>
  </si>
  <si>
    <t>53</t>
  </si>
  <si>
    <t>54</t>
  </si>
  <si>
    <t>Лікар-акушер-гінеколог</t>
  </si>
  <si>
    <t>55</t>
  </si>
  <si>
    <t>Лікар-рентгенолог</t>
  </si>
  <si>
    <t>56</t>
  </si>
  <si>
    <t>Лікар-ортопед-травматолог</t>
  </si>
  <si>
    <t>57</t>
  </si>
  <si>
    <t>Лікар-хірург</t>
  </si>
  <si>
    <t>58</t>
  </si>
  <si>
    <t>Лікар-офтальмолог</t>
  </si>
  <si>
    <t>59</t>
  </si>
  <si>
    <t>60</t>
  </si>
  <si>
    <t>Лікар з ультразвукової діагностики</t>
  </si>
  <si>
    <t>61</t>
  </si>
  <si>
    <t>Лікар-отоларинголог</t>
  </si>
  <si>
    <t>62</t>
  </si>
  <si>
    <t>Лікар-ендоскопіст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</si>
  <si>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</si>
  <si>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63</t>
  </si>
  <si>
    <t>Лікар-отоларинголог дитячий</t>
  </si>
  <si>
    <t>64</t>
  </si>
  <si>
    <t>Лікар-ортопед-травматолог дитячий</t>
  </si>
  <si>
    <t>65</t>
  </si>
  <si>
    <t>Лікар-кардіолог</t>
  </si>
  <si>
    <t>66</t>
  </si>
  <si>
    <t>Лікар-стоматолог</t>
  </si>
  <si>
    <t>67</t>
  </si>
  <si>
    <t>68</t>
  </si>
  <si>
    <t>Лікар-ендокринолог</t>
  </si>
  <si>
    <t>69</t>
  </si>
  <si>
    <t>Лікар-педіатр</t>
  </si>
  <si>
    <t>70</t>
  </si>
  <si>
    <t>Лікар-гастроентеролог дитячий</t>
  </si>
  <si>
    <t>71</t>
  </si>
  <si>
    <t>72</t>
  </si>
  <si>
    <t>Сестра медична з фізіотерапії</t>
  </si>
  <si>
    <t>73</t>
  </si>
  <si>
    <t>Акушерка</t>
  </si>
  <si>
    <t>74</t>
  </si>
  <si>
    <t>Сестра медична зі стоматології</t>
  </si>
  <si>
    <t>75</t>
  </si>
  <si>
    <t>Рентгенолаборант</t>
  </si>
  <si>
    <t>76</t>
  </si>
  <si>
    <t>Сестра -  господиня</t>
  </si>
  <si>
    <t>77</t>
  </si>
  <si>
    <t xml:space="preserve">Молодша медична сестра </t>
  </si>
  <si>
    <t>4.3. КЛІНІКО-ДІАГНОСТИЧНА ЛАБОРАТОРІЯ</t>
  </si>
  <si>
    <t>78</t>
  </si>
  <si>
    <t>Лікар-лаборант</t>
  </si>
  <si>
    <t>79</t>
  </si>
  <si>
    <t>Біохімік</t>
  </si>
  <si>
    <t>80</t>
  </si>
  <si>
    <t xml:space="preserve">Лаборант                                                                    </t>
  </si>
  <si>
    <t>81</t>
  </si>
  <si>
    <t xml:space="preserve">                                                                                                                           </t>
  </si>
  <si>
    <t>4.4. ІНФЕКЦІЙНЕ ВІДДІЛЕННЯ</t>
  </si>
  <si>
    <t>82</t>
  </si>
  <si>
    <t>83</t>
  </si>
  <si>
    <t>84</t>
  </si>
  <si>
    <t>85</t>
  </si>
  <si>
    <t xml:space="preserve"> 5. ЦЕНТР ПЕРВИННОЇ МЕДИКО-САНІТАРНОЇ ДОПОМОГИ      </t>
  </si>
  <si>
    <t>86</t>
  </si>
  <si>
    <t>87</t>
  </si>
  <si>
    <t xml:space="preserve">5.1.  Димерська АЗПСМ </t>
  </si>
  <si>
    <t>88</t>
  </si>
  <si>
    <t>Лікар загальної практики-сімейний лікар</t>
  </si>
  <si>
    <t>89</t>
  </si>
  <si>
    <t>Лікар - педіатр</t>
  </si>
  <si>
    <t>90</t>
  </si>
  <si>
    <t>91</t>
  </si>
  <si>
    <t>Сестра медична загальної практики-сімейної медицини</t>
  </si>
  <si>
    <t>Сестра медична загальної практики- сімейної медицини</t>
  </si>
  <si>
    <t>92</t>
  </si>
  <si>
    <t>93</t>
  </si>
  <si>
    <t>Сестра медична процедурна</t>
  </si>
  <si>
    <t>94</t>
  </si>
  <si>
    <t xml:space="preserve">5.2. КАБІНЕТ ЦІЛОДОБОВОГО НАДАННЯ ПЕРВИННОЇ МЕДИЧНОЇ ДОПОМОГИ </t>
  </si>
  <si>
    <t>95</t>
  </si>
  <si>
    <t xml:space="preserve">Фельдшер </t>
  </si>
  <si>
    <t>Фельдшер</t>
  </si>
  <si>
    <t>96</t>
  </si>
  <si>
    <t xml:space="preserve">5.3. Федорівська АЗПСМ </t>
  </si>
  <si>
    <t>97</t>
  </si>
  <si>
    <t>98</t>
  </si>
  <si>
    <t>99</t>
  </si>
  <si>
    <t>100</t>
  </si>
  <si>
    <t>Машиніст котельні</t>
  </si>
  <si>
    <t>101</t>
  </si>
  <si>
    <t>Двірник</t>
  </si>
  <si>
    <t xml:space="preserve">5.4. Литвинівська АЗПСМ </t>
  </si>
  <si>
    <t>102</t>
  </si>
  <si>
    <t xml:space="preserve">Лікар загальної практики-сімейний лікар </t>
  </si>
  <si>
    <t>103</t>
  </si>
  <si>
    <t>104</t>
  </si>
  <si>
    <t>Сестра медична патронажна</t>
  </si>
  <si>
    <t>105</t>
  </si>
  <si>
    <t xml:space="preserve">5.5. Катюжанська АЗПСМ </t>
  </si>
  <si>
    <t>106</t>
  </si>
  <si>
    <t>107</t>
  </si>
  <si>
    <t>108</t>
  </si>
  <si>
    <t>Сестра медична загальної практики сімейної медицини</t>
  </si>
  <si>
    <t>109</t>
  </si>
  <si>
    <t>110</t>
  </si>
  <si>
    <t>111</t>
  </si>
  <si>
    <t>Реєстратор медичний</t>
  </si>
  <si>
    <t xml:space="preserve">5.6. Ясногородська АЗПСМ </t>
  </si>
  <si>
    <t>112</t>
  </si>
  <si>
    <t>113</t>
  </si>
  <si>
    <t>114</t>
  </si>
  <si>
    <t>115</t>
  </si>
  <si>
    <t>116</t>
  </si>
  <si>
    <t xml:space="preserve">5.7. Демидівська АЗПСМ </t>
  </si>
  <si>
    <t>117</t>
  </si>
  <si>
    <t>118</t>
  </si>
  <si>
    <t>119</t>
  </si>
  <si>
    <t>120</t>
  </si>
  <si>
    <t>121</t>
  </si>
  <si>
    <t>122</t>
  </si>
  <si>
    <t xml:space="preserve">5.8. Козаровицька АЗПСМ   </t>
  </si>
  <si>
    <t>123</t>
  </si>
  <si>
    <t>124</t>
  </si>
  <si>
    <t>125</t>
  </si>
  <si>
    <t>5.3.1. ФП с.Сичівка</t>
  </si>
  <si>
    <t>126</t>
  </si>
  <si>
    <t>127</t>
  </si>
  <si>
    <t>128</t>
  </si>
  <si>
    <t>Опалювач</t>
  </si>
  <si>
    <t>5.3.2. ФП с.Любимівка</t>
  </si>
  <si>
    <t>129</t>
  </si>
  <si>
    <t>130</t>
  </si>
  <si>
    <t>131</t>
  </si>
  <si>
    <t>5.5.1. ФП с.Абрамівка</t>
  </si>
  <si>
    <t>132</t>
  </si>
  <si>
    <t>133</t>
  </si>
  <si>
    <t>134</t>
  </si>
  <si>
    <t>5.5.2. ФП с.Гута-Катюжанська</t>
  </si>
  <si>
    <t>135</t>
  </si>
  <si>
    <t>136</t>
  </si>
  <si>
    <t>137</t>
  </si>
  <si>
    <t>5.5.3. ФП с.Вахівка</t>
  </si>
  <si>
    <t>141</t>
  </si>
  <si>
    <t>142</t>
  </si>
  <si>
    <t>5.5.4. ФП с.Рудня -Димерська</t>
  </si>
  <si>
    <t>143</t>
  </si>
  <si>
    <t>144</t>
  </si>
  <si>
    <t>145</t>
  </si>
  <si>
    <t>5.6.1. ФП с.Глібівка</t>
  </si>
  <si>
    <t>146</t>
  </si>
  <si>
    <t>147</t>
  </si>
  <si>
    <t>148</t>
  </si>
  <si>
    <t>149</t>
  </si>
  <si>
    <t>5.6.2. ФП с.Сухолуччя</t>
  </si>
  <si>
    <t>150</t>
  </si>
  <si>
    <t>151</t>
  </si>
  <si>
    <t>5.6.3. ФП с.Толокунь</t>
  </si>
  <si>
    <t>152</t>
  </si>
  <si>
    <t>153</t>
  </si>
  <si>
    <t>5.6.4. ФП с.Богдани</t>
  </si>
  <si>
    <t>154</t>
  </si>
  <si>
    <t>155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</si>
  <si>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</si>
  <si>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</si>
  <si>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</si>
  <si>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</si>
  <si>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</si>
  <si>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</si>
  <si>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</si>
  <si>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2024 рік:</t>
  </si>
  <si>
    <t>Фельдшерські пункти</t>
  </si>
  <si>
    <t>2677076,35 грн.</t>
  </si>
  <si>
    <t>Додаток 1 до рішення Димерської селищної ради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</si>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</sst>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49" fontId="1" fillId="0" borderId="3" xfId="0" applyNumberFormat="1" applyFont="1" applyBorder="1"/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/>
    <xf numFmtId="9" fontId="10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49" fontId="6" fillId="0" borderId="11" xfId="0" applyNumberFormat="1" applyFont="1" applyBorder="1"/>
    <xf numFmtId="0" fontId="10" fillId="0" borderId="12" xfId="0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2" fontId="16" fillId="0" borderId="12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1" xfId="0" applyNumberFormat="1" applyFont="1" applyBorder="1" applyAlignment="1">
      <alignment horizontal="left"/>
    </xf>
    <xf numFmtId="0" fontId="10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2" fontId="15" fillId="0" borderId="0" xfId="0" applyNumberFormat="1" applyFont="1"/>
    <xf numFmtId="0" fontId="13" fillId="0" borderId="8" xfId="0" applyFont="1" applyBorder="1" applyAlignment="1">
      <alignment horizontal="left" vertical="center" wrapText="1"/>
    </xf>
    <xf numFmtId="2" fontId="17" fillId="0" borderId="0" xfId="0" applyNumberFormat="1" applyFont="1"/>
    <xf numFmtId="0" fontId="17" fillId="0" borderId="0" xfId="0" applyFont="1"/>
    <xf numFmtId="0" fontId="10" fillId="0" borderId="15" xfId="0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0" fontId="18" fillId="0" borderId="0" xfId="0" applyFont="1"/>
    <xf numFmtId="49" fontId="1" fillId="0" borderId="14" xfId="0" applyNumberFormat="1" applyFont="1" applyBorder="1"/>
    <xf numFmtId="2" fontId="18" fillId="0" borderId="0" xfId="0" applyNumberFormat="1" applyFont="1"/>
    <xf numFmtId="0" fontId="9" fillId="0" borderId="1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2" fontId="14" fillId="0" borderId="1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49" fontId="12" fillId="0" borderId="7" xfId="0" applyNumberFormat="1" applyFont="1" applyBorder="1"/>
    <xf numFmtId="2" fontId="9" fillId="0" borderId="17" xfId="0" applyNumberFormat="1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49" fontId="17" fillId="0" borderId="0" xfId="0" applyNumberFormat="1" applyFont="1"/>
    <xf numFmtId="4" fontId="1" fillId="0" borderId="0" xfId="0" applyNumberFormat="1" applyFont="1"/>
    <xf numFmtId="0" fontId="1" fillId="0" borderId="3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1" xfId="0" applyFont="1" applyBorder="1" applyAlignment="1">
      <alignment horizontal="right"/>
    </xf>
    <xf numFmtId="0" fontId="1" fillId="0" borderId="12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2" fontId="6" fillId="0" borderId="12" xfId="0" applyNumberFormat="1" applyFont="1" applyBorder="1"/>
    <xf numFmtId="0" fontId="19" fillId="0" borderId="0" xfId="0" applyFont="1"/>
    <xf numFmtId="2" fontId="19" fillId="0" borderId="0" xfId="0" applyNumberFormat="1" applyFont="1"/>
    <xf numFmtId="2" fontId="20" fillId="0" borderId="0" xfId="0" applyNumberFormat="1" applyFont="1"/>
    <xf numFmtId="0" fontId="2" fillId="0" borderId="0" xfId="0" applyFont="1"/>
    <xf numFmtId="0" fontId="3" fillId="0" borderId="0" xfId="0" applyFont="1"/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/>
    <xf numFmtId="0" fontId="1" fillId="0" borderId="13" xfId="0" applyFont="1" applyBorder="1"/>
    <xf numFmtId="9" fontId="13" fillId="0" borderId="8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left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2" fontId="10" fillId="0" borderId="22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49" fontId="12" fillId="0" borderId="21" xfId="0" applyNumberFormat="1" applyFont="1" applyBorder="1"/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2" fontId="13" fillId="0" borderId="22" xfId="0" applyNumberFormat="1" applyFont="1" applyBorder="1" applyAlignment="1">
      <alignment horizontal="center" vertical="center" wrapText="1"/>
    </xf>
    <xf numFmtId="2" fontId="13" fillId="0" borderId="2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49" fontId="17" fillId="0" borderId="7" xfId="0" applyNumberFormat="1" applyFont="1" applyBorder="1"/>
    <xf numFmtId="0" fontId="13" fillId="0" borderId="24" xfId="0" applyFont="1" applyBorder="1" applyAlignment="1">
      <alignment horizontal="left" vertical="center" wrapText="1"/>
    </xf>
    <xf numFmtId="2" fontId="13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2" fontId="13" fillId="0" borderId="2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8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85D2-863F-4307-8822-9D251DA59F97}">
  <dimension ref="A1:AI251"/>
  <sheetViews>
    <sheetView tabSelected="1" zoomScale="80" zoomScaleNormal="80" workbookViewId="0">
      <selection activeCell="K240" sqref="K240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4"/>
      <c r="S1" s="12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3"/>
      <c r="N2" s="124"/>
      <c r="O2" s="124"/>
      <c r="P2" s="124"/>
      <c r="Q2" s="124"/>
      <c r="R2" s="124"/>
      <c r="S2" s="124"/>
    </row>
    <row r="3" spans="1:35" ht="40.799999999999997" customHeight="1" x14ac:dyDescent="0.35">
      <c r="B3" s="125"/>
      <c r="C3" s="126"/>
      <c r="D3" s="126"/>
      <c r="E3" s="4"/>
      <c r="F3" s="4"/>
      <c r="G3" s="4"/>
      <c r="H3" s="4"/>
      <c r="I3" s="4"/>
      <c r="J3" s="4"/>
      <c r="K3" s="4"/>
      <c r="L3" s="4"/>
      <c r="M3" s="127" t="s">
        <v>307</v>
      </c>
      <c r="N3" s="128"/>
      <c r="O3" s="128"/>
      <c r="P3" s="128"/>
      <c r="Q3" s="128"/>
      <c r="R3" s="128"/>
      <c r="S3" s="12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29" t="s">
        <v>0</v>
      </c>
      <c r="C5" s="129"/>
      <c r="D5" s="129"/>
      <c r="G5" s="8"/>
      <c r="H5" s="8"/>
      <c r="I5" s="8"/>
      <c r="J5" s="8"/>
      <c r="K5" s="8"/>
      <c r="L5" s="8"/>
      <c r="M5" s="130"/>
      <c r="N5" s="131"/>
      <c r="O5" s="131"/>
      <c r="P5" s="131"/>
      <c r="Q5" s="9"/>
      <c r="R5" s="9"/>
      <c r="S5" s="3"/>
    </row>
    <row r="6" spans="1:35" ht="29.4" customHeight="1" x14ac:dyDescent="0.3">
      <c r="B6" s="10"/>
      <c r="G6" s="11"/>
      <c r="H6" s="12"/>
      <c r="M6" s="132"/>
      <c r="N6" s="131"/>
      <c r="O6" s="131"/>
      <c r="P6" s="131"/>
      <c r="Q6" s="131"/>
      <c r="R6" s="131"/>
      <c r="S6" s="13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1</v>
      </c>
      <c r="N8" s="13"/>
      <c r="O8" s="133" t="s">
        <v>306</v>
      </c>
      <c r="P8" s="134"/>
      <c r="Q8" s="13"/>
      <c r="R8" s="13"/>
      <c r="S8" s="135" t="s">
        <v>2</v>
      </c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4"/>
    </row>
    <row r="9" spans="1:35" ht="23.4" customHeight="1" x14ac:dyDescent="0.3">
      <c r="B9" s="136" t="s">
        <v>3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4" t="s">
        <v>4</v>
      </c>
    </row>
    <row r="10" spans="1:35" ht="27.6" customHeight="1" thickBot="1" x14ac:dyDescent="0.35">
      <c r="B10" s="137" t="s">
        <v>5</v>
      </c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</row>
    <row r="11" spans="1:35" ht="37.950000000000003" customHeight="1" x14ac:dyDescent="0.25">
      <c r="A11" s="144"/>
      <c r="B11" s="146" t="s">
        <v>6</v>
      </c>
      <c r="C11" s="142" t="s">
        <v>7</v>
      </c>
      <c r="D11" s="142" t="s">
        <v>8</v>
      </c>
      <c r="E11" s="142" t="s">
        <v>9</v>
      </c>
      <c r="F11" s="142" t="s">
        <v>10</v>
      </c>
      <c r="G11" s="142" t="s">
        <v>11</v>
      </c>
      <c r="H11" s="142" t="s">
        <v>12</v>
      </c>
      <c r="I11" s="142"/>
      <c r="J11" s="142"/>
      <c r="K11" s="142"/>
      <c r="L11" s="138" t="s">
        <v>13</v>
      </c>
      <c r="M11" s="138" t="s">
        <v>14</v>
      </c>
      <c r="N11" s="138" t="s">
        <v>15</v>
      </c>
      <c r="O11" s="140" t="s">
        <v>16</v>
      </c>
      <c r="P11" s="138" t="s">
        <v>17</v>
      </c>
      <c r="Q11" s="146"/>
      <c r="R11" s="142" t="s">
        <v>18</v>
      </c>
      <c r="S11" s="148" t="s">
        <v>19</v>
      </c>
    </row>
    <row r="12" spans="1:35" ht="64.95" customHeight="1" thickBot="1" x14ac:dyDescent="0.3">
      <c r="A12" s="145"/>
      <c r="B12" s="147"/>
      <c r="C12" s="143"/>
      <c r="D12" s="143"/>
      <c r="E12" s="143"/>
      <c r="F12" s="143"/>
      <c r="G12" s="143"/>
      <c r="H12" s="16" t="s">
        <v>20</v>
      </c>
      <c r="I12" s="17" t="s">
        <v>21</v>
      </c>
      <c r="J12" s="17" t="s">
        <v>22</v>
      </c>
      <c r="K12" s="16" t="s">
        <v>23</v>
      </c>
      <c r="L12" s="139"/>
      <c r="M12" s="139"/>
      <c r="N12" s="139"/>
      <c r="O12" s="141"/>
      <c r="P12" s="139"/>
      <c r="Q12" s="147"/>
      <c r="R12" s="143"/>
      <c r="S12" s="149"/>
    </row>
    <row r="13" spans="1:35" s="13" customFormat="1" ht="20.399999999999999" customHeight="1" x14ac:dyDescent="0.2">
      <c r="A13" s="18"/>
      <c r="B13" s="86" t="s">
        <v>24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25</v>
      </c>
      <c r="B14" s="21" t="s">
        <v>26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27</v>
      </c>
      <c r="B15" s="21" t="s">
        <v>28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R15*12</f>
        <v>270000</v>
      </c>
    </row>
    <row r="16" spans="1:35" x14ac:dyDescent="0.25">
      <c r="A16" s="20" t="s">
        <v>29</v>
      </c>
      <c r="B16" s="21" t="s">
        <v>30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31</v>
      </c>
      <c r="B17" s="21" t="s">
        <v>32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33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265164</v>
      </c>
    </row>
    <row r="18" spans="1:19" x14ac:dyDescent="0.25">
      <c r="A18" s="20" t="s">
        <v>34</v>
      </c>
      <c r="B18" s="21" t="s">
        <v>35</v>
      </c>
      <c r="C18" s="22">
        <v>1</v>
      </c>
      <c r="D18" s="22"/>
      <c r="E18" s="23">
        <f>E14-5000</f>
        <v>20000</v>
      </c>
      <c r="F18" s="23"/>
      <c r="G18" s="23">
        <f t="shared" ref="G18:G34" si="1">E18+F18</f>
        <v>20000</v>
      </c>
      <c r="H18" s="23"/>
      <c r="I18" s="23"/>
      <c r="J18" s="23"/>
      <c r="K18" s="23"/>
      <c r="L18" s="23" t="s">
        <v>36</v>
      </c>
      <c r="M18" s="23"/>
      <c r="N18" s="23"/>
      <c r="O18" s="23">
        <f>G18</f>
        <v>20000</v>
      </c>
      <c r="P18" s="23" t="s">
        <v>37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38</v>
      </c>
      <c r="B19" s="21" t="s">
        <v>39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40</v>
      </c>
      <c r="M19" s="23"/>
      <c r="N19" s="23"/>
      <c r="O19" s="23">
        <f>10480*C19</f>
        <v>20960</v>
      </c>
      <c r="P19" s="23" t="s">
        <v>4</v>
      </c>
      <c r="Q19" s="23"/>
      <c r="R19" s="23">
        <f>G19+H19+O19</f>
        <v>36680</v>
      </c>
      <c r="S19" s="25">
        <f t="shared" si="0"/>
        <v>440160</v>
      </c>
    </row>
    <row r="20" spans="1:19" x14ac:dyDescent="0.25">
      <c r="A20" s="20" t="s">
        <v>41</v>
      </c>
      <c r="B20" s="21" t="s">
        <v>42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40</v>
      </c>
      <c r="M20" s="23"/>
      <c r="N20" s="23"/>
      <c r="O20" s="23">
        <v>10480</v>
      </c>
      <c r="P20" s="23" t="s">
        <v>4</v>
      </c>
      <c r="Q20" s="23"/>
      <c r="R20" s="23">
        <f>G20+H20+O20</f>
        <v>18340</v>
      </c>
      <c r="S20" s="25">
        <f t="shared" si="0"/>
        <v>220080</v>
      </c>
    </row>
    <row r="21" spans="1:19" x14ac:dyDescent="0.25">
      <c r="A21" s="20" t="s">
        <v>43</v>
      </c>
      <c r="B21" s="21" t="s">
        <v>44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220080</v>
      </c>
    </row>
    <row r="22" spans="1:19" x14ac:dyDescent="0.25">
      <c r="A22" s="20" t="s">
        <v>45</v>
      </c>
      <c r="B22" s="21" t="s">
        <v>46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194586</v>
      </c>
    </row>
    <row r="23" spans="1:19" x14ac:dyDescent="0.25">
      <c r="A23" s="20" t="s">
        <v>47</v>
      </c>
      <c r="B23" s="21" t="s">
        <v>48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83394</v>
      </c>
    </row>
    <row r="24" spans="1:19" x14ac:dyDescent="0.25">
      <c r="A24" s="20" t="s">
        <v>49</v>
      </c>
      <c r="B24" s="21" t="s">
        <v>50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170436</v>
      </c>
    </row>
    <row r="25" spans="1:19" x14ac:dyDescent="0.25">
      <c r="A25" s="20" t="s">
        <v>51</v>
      </c>
      <c r="B25" s="21" t="s">
        <v>52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198972</v>
      </c>
    </row>
    <row r="26" spans="1:19" ht="18" customHeight="1" x14ac:dyDescent="0.25">
      <c r="A26" s="20" t="s">
        <v>53</v>
      </c>
      <c r="B26" s="21" t="s">
        <v>54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146088</v>
      </c>
    </row>
    <row r="27" spans="1:19" s="27" customFormat="1" ht="25.8" customHeight="1" thickBot="1" x14ac:dyDescent="0.3">
      <c r="A27" s="64"/>
      <c r="B27" s="47" t="s">
        <v>55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3603960</v>
      </c>
    </row>
    <row r="28" spans="1:19" s="13" customFormat="1" ht="19.8" customHeight="1" x14ac:dyDescent="0.2">
      <c r="A28" s="18"/>
      <c r="B28" s="86" t="s">
        <v>56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57</v>
      </c>
      <c r="B29" s="21" t="s">
        <v>58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R29*12</f>
        <v>96000</v>
      </c>
    </row>
    <row r="30" spans="1:19" x14ac:dyDescent="0.25">
      <c r="A30" s="20" t="s">
        <v>59</v>
      </c>
      <c r="B30" s="21" t="s">
        <v>60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5" si="6">R30*12</f>
        <v>96000</v>
      </c>
    </row>
    <row r="31" spans="1:19" x14ac:dyDescent="0.25">
      <c r="A31" s="20" t="s">
        <v>61</v>
      </c>
      <c r="B31" s="21" t="s">
        <v>62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96000</v>
      </c>
    </row>
    <row r="32" spans="1:19" x14ac:dyDescent="0.25">
      <c r="A32" s="20" t="s">
        <v>63</v>
      </c>
      <c r="B32" s="21" t="s">
        <v>64</v>
      </c>
      <c r="C32" s="22">
        <v>2</v>
      </c>
      <c r="D32" s="22">
        <v>3</v>
      </c>
      <c r="E32" s="23">
        <f>3770*C32</f>
        <v>7540</v>
      </c>
      <c r="F32" s="22"/>
      <c r="G32" s="23">
        <f t="shared" si="1"/>
        <v>7540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8460</v>
      </c>
      <c r="Q32" s="23"/>
      <c r="R32" s="23">
        <f>G32+H32+I32+ J32+K32+L32+N32+O32+P32</f>
        <v>16000</v>
      </c>
      <c r="S32" s="25">
        <f t="shared" si="6"/>
        <v>192000</v>
      </c>
    </row>
    <row r="33" spans="1:19" ht="12.6" customHeight="1" x14ac:dyDescent="0.25">
      <c r="A33" s="20" t="s">
        <v>65</v>
      </c>
      <c r="B33" s="21" t="s">
        <v>66</v>
      </c>
      <c r="C33" s="22">
        <v>1</v>
      </c>
      <c r="D33" s="22">
        <v>2</v>
      </c>
      <c r="E33" s="23">
        <v>3483</v>
      </c>
      <c r="F33" s="22">
        <f>E33*0.2</f>
        <v>696.6</v>
      </c>
      <c r="G33" s="23">
        <f t="shared" si="1"/>
        <v>4179.6000000000004</v>
      </c>
      <c r="H33" s="23"/>
      <c r="I33" s="23"/>
      <c r="J33" s="23">
        <f>G33*4%</f>
        <v>167.18400000000003</v>
      </c>
      <c r="K33" s="23"/>
      <c r="L33" s="23"/>
      <c r="M33" s="23"/>
      <c r="N33" s="23"/>
      <c r="O33" s="23"/>
      <c r="P33" s="23">
        <f>8000-E33</f>
        <v>4517</v>
      </c>
      <c r="Q33" s="23"/>
      <c r="R33" s="23">
        <f>G33+J33+P33</f>
        <v>8863.7839999999997</v>
      </c>
      <c r="S33" s="25">
        <f t="shared" si="6"/>
        <v>106365.408</v>
      </c>
    </row>
    <row r="34" spans="1:19" ht="18" customHeight="1" x14ac:dyDescent="0.25">
      <c r="A34" s="20" t="s">
        <v>67</v>
      </c>
      <c r="B34" s="21" t="s">
        <v>68</v>
      </c>
      <c r="C34" s="22">
        <v>1</v>
      </c>
      <c r="D34" s="22">
        <v>1</v>
      </c>
      <c r="E34" s="23">
        <v>3195</v>
      </c>
      <c r="F34" s="22"/>
      <c r="G34" s="23">
        <f t="shared" si="1"/>
        <v>3195</v>
      </c>
      <c r="H34" s="23"/>
      <c r="I34" s="23"/>
      <c r="J34" s="23"/>
      <c r="K34" s="23"/>
      <c r="L34" s="23"/>
      <c r="M34" s="23"/>
      <c r="N34" s="23"/>
      <c r="O34" s="23"/>
      <c r="P34" s="23">
        <f>8000-G34</f>
        <v>4805</v>
      </c>
      <c r="Q34" s="23"/>
      <c r="R34" s="23">
        <f t="shared" ref="R34" si="8">G34+H34+I34+ J34+K34+L34+N34+O34+P34</f>
        <v>8000</v>
      </c>
      <c r="S34" s="25">
        <f t="shared" si="6"/>
        <v>96000</v>
      </c>
    </row>
    <row r="35" spans="1:19" x14ac:dyDescent="0.25">
      <c r="A35" s="20" t="s">
        <v>69</v>
      </c>
      <c r="B35" s="21" t="s">
        <v>70</v>
      </c>
      <c r="C35" s="22">
        <v>1</v>
      </c>
      <c r="D35" s="22">
        <v>5</v>
      </c>
      <c r="E35" s="23">
        <v>4345</v>
      </c>
      <c r="F35" s="23"/>
      <c r="G35" s="23">
        <f>E35+F35</f>
        <v>4345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3655</v>
      </c>
      <c r="Q35" s="32"/>
      <c r="R35" s="23">
        <f>G35+P35</f>
        <v>8000</v>
      </c>
      <c r="S35" s="25">
        <f t="shared" si="6"/>
        <v>96000</v>
      </c>
    </row>
    <row r="36" spans="1:19" s="27" customFormat="1" ht="26.4" customHeight="1" thickBot="1" x14ac:dyDescent="0.3">
      <c r="A36" s="64"/>
      <c r="B36" s="47" t="s">
        <v>55</v>
      </c>
      <c r="C36" s="34">
        <f>SUM(C29:C35)</f>
        <v>8</v>
      </c>
      <c r="D36" s="34"/>
      <c r="E36" s="35">
        <f>SUM(E29:E35)</f>
        <v>29873</v>
      </c>
      <c r="F36" s="34">
        <f>SUM(F29:F35)</f>
        <v>696.6</v>
      </c>
      <c r="G36" s="35">
        <f>E36+F36</f>
        <v>30569.599999999999</v>
      </c>
      <c r="H36" s="35"/>
      <c r="I36" s="35">
        <f>SUM(I29:I34)</f>
        <v>0</v>
      </c>
      <c r="J36" s="35">
        <f>SUM(J29:J34)</f>
        <v>167.18400000000003</v>
      </c>
      <c r="K36" s="35"/>
      <c r="L36" s="35"/>
      <c r="M36" s="35"/>
      <c r="N36" s="35"/>
      <c r="O36" s="35"/>
      <c r="P36" s="35">
        <f>SUM(P29:P35)</f>
        <v>34127</v>
      </c>
      <c r="Q36" s="35"/>
      <c r="R36" s="35">
        <f>SUM(R29:R35)</f>
        <v>64863.784</v>
      </c>
      <c r="S36" s="36">
        <f>SUM(S29:S35)</f>
        <v>778365.40800000005</v>
      </c>
    </row>
    <row r="37" spans="1:19" ht="19.8" customHeight="1" x14ac:dyDescent="0.25">
      <c r="A37" s="18"/>
      <c r="B37" s="86" t="s">
        <v>71</v>
      </c>
      <c r="C37" s="85"/>
      <c r="D37" s="85"/>
      <c r="E37" s="85"/>
      <c r="F37" s="85"/>
      <c r="G37" s="94"/>
      <c r="H37" s="85" t="s">
        <v>72</v>
      </c>
      <c r="I37" s="95"/>
      <c r="J37" s="95"/>
      <c r="K37" s="85"/>
      <c r="L37" s="95"/>
      <c r="M37" s="95"/>
      <c r="N37" s="95"/>
      <c r="O37" s="95"/>
      <c r="P37" s="95"/>
      <c r="Q37" s="85"/>
      <c r="R37" s="85"/>
      <c r="S37" s="96"/>
    </row>
    <row r="38" spans="1:19" s="13" customFormat="1" x14ac:dyDescent="0.2">
      <c r="A38" s="28" t="s">
        <v>73</v>
      </c>
      <c r="B38" s="21" t="s">
        <v>74</v>
      </c>
      <c r="C38" s="22">
        <v>2.5</v>
      </c>
      <c r="D38" s="22">
        <v>2</v>
      </c>
      <c r="E38" s="23">
        <f>3483*C38</f>
        <v>8707.5</v>
      </c>
      <c r="F38" s="22"/>
      <c r="G38" s="23">
        <f t="shared" ref="G38:G39" si="9">E38+F38</f>
        <v>8707.5</v>
      </c>
      <c r="H38" s="23"/>
      <c r="I38" s="23"/>
      <c r="J38" s="23"/>
      <c r="K38" s="23"/>
      <c r="L38" s="23"/>
      <c r="M38" s="23"/>
      <c r="N38" s="23"/>
      <c r="O38" s="23"/>
      <c r="P38" s="23">
        <f>8000*C38-G38</f>
        <v>11292.5</v>
      </c>
      <c r="Q38" s="23"/>
      <c r="R38" s="23">
        <f t="shared" ref="R38" si="10">G38+H38+I38+ J38+K38+L38+N38+O38+P38</f>
        <v>20000</v>
      </c>
      <c r="S38" s="25">
        <f>R38*12</f>
        <v>240000</v>
      </c>
    </row>
    <row r="39" spans="1:19" s="37" customFormat="1" ht="25.2" customHeight="1" thickBot="1" x14ac:dyDescent="0.3">
      <c r="A39" s="33"/>
      <c r="B39" s="34" t="s">
        <v>55</v>
      </c>
      <c r="C39" s="34">
        <f>SUM(C38:C38)</f>
        <v>2.5</v>
      </c>
      <c r="D39" s="34"/>
      <c r="E39" s="35">
        <f>SUM(E38:E38)</f>
        <v>8707.5</v>
      </c>
      <c r="F39" s="34"/>
      <c r="G39" s="35">
        <f t="shared" si="9"/>
        <v>8707.5</v>
      </c>
      <c r="H39" s="35"/>
      <c r="I39" s="35"/>
      <c r="J39" s="35"/>
      <c r="K39" s="35"/>
      <c r="L39" s="35"/>
      <c r="M39" s="35"/>
      <c r="N39" s="35"/>
      <c r="O39" s="35"/>
      <c r="P39" s="35">
        <f>SUM(P38:P38)</f>
        <v>11292.5</v>
      </c>
      <c r="Q39" s="35"/>
      <c r="R39" s="35">
        <f>SUM(G39:Q39)</f>
        <v>20000</v>
      </c>
      <c r="S39" s="36">
        <f>SUM(S38:S38)</f>
        <v>240000</v>
      </c>
    </row>
    <row r="40" spans="1:19" s="38" customFormat="1" ht="26.4" customHeight="1" x14ac:dyDescent="0.25">
      <c r="A40" s="18"/>
      <c r="B40" s="86" t="s">
        <v>75</v>
      </c>
      <c r="C40" s="86"/>
      <c r="D40" s="86"/>
      <c r="E40" s="86"/>
      <c r="F40" s="86"/>
      <c r="G40" s="94"/>
      <c r="H40" s="86"/>
      <c r="I40" s="19"/>
      <c r="J40" s="19"/>
      <c r="K40" s="86"/>
      <c r="L40" s="19"/>
      <c r="M40" s="19"/>
      <c r="N40" s="19"/>
      <c r="O40" s="19"/>
      <c r="P40" s="19"/>
      <c r="Q40" s="86"/>
      <c r="R40" s="86"/>
      <c r="S40" s="87"/>
    </row>
    <row r="41" spans="1:19" s="38" customFormat="1" ht="16.95" customHeight="1" x14ac:dyDescent="0.25">
      <c r="A41" s="20" t="s">
        <v>76</v>
      </c>
      <c r="B41" s="21" t="s">
        <v>60</v>
      </c>
      <c r="C41" s="22">
        <v>0.5</v>
      </c>
      <c r="D41" s="22">
        <v>1</v>
      </c>
      <c r="E41" s="22">
        <v>1597.5</v>
      </c>
      <c r="F41" s="22"/>
      <c r="G41" s="22">
        <v>1597.5</v>
      </c>
      <c r="H41" s="22"/>
      <c r="I41" s="24"/>
      <c r="J41" s="24"/>
      <c r="K41" s="22"/>
      <c r="L41" s="24"/>
      <c r="M41" s="24"/>
      <c r="N41" s="24"/>
      <c r="O41" s="24"/>
      <c r="P41" s="23">
        <f>8000/2-G41</f>
        <v>2402.5</v>
      </c>
      <c r="Q41" s="22"/>
      <c r="R41" s="23">
        <f t="shared" ref="R41" si="11">G41+H41+I41+ J41+K41+L41+N41+O41+P41</f>
        <v>4000</v>
      </c>
      <c r="S41" s="25">
        <f>R41*12</f>
        <v>48000</v>
      </c>
    </row>
    <row r="42" spans="1:19" x14ac:dyDescent="0.25">
      <c r="A42" s="20" t="s">
        <v>77</v>
      </c>
      <c r="B42" s="21" t="s">
        <v>78</v>
      </c>
      <c r="C42" s="22">
        <v>2</v>
      </c>
      <c r="D42" s="22">
        <v>4</v>
      </c>
      <c r="E42" s="23">
        <f>4058*C42</f>
        <v>8116</v>
      </c>
      <c r="F42" s="22"/>
      <c r="G42" s="23">
        <f t="shared" ref="G42:G43" si="12">E42+F42</f>
        <v>8116</v>
      </c>
      <c r="H42" s="23"/>
      <c r="I42" s="23"/>
      <c r="J42" s="23">
        <f>G42*0.04</f>
        <v>324.64</v>
      </c>
      <c r="K42" s="23"/>
      <c r="L42" s="23"/>
      <c r="M42" s="23"/>
      <c r="N42" s="23"/>
      <c r="O42" s="23"/>
      <c r="P42" s="23">
        <f>8000*C42-G42</f>
        <v>7884</v>
      </c>
      <c r="Q42" s="23"/>
      <c r="R42" s="23">
        <f>SUM(G42:P42)</f>
        <v>16324.64</v>
      </c>
      <c r="S42" s="25">
        <f t="shared" ref="S42:S43" si="13">R42*12</f>
        <v>195895.67999999999</v>
      </c>
    </row>
    <row r="43" spans="1:19" x14ac:dyDescent="0.25">
      <c r="A43" s="20" t="s">
        <v>79</v>
      </c>
      <c r="B43" s="21" t="s">
        <v>80</v>
      </c>
      <c r="C43" s="22">
        <v>2</v>
      </c>
      <c r="D43" s="22">
        <v>1</v>
      </c>
      <c r="E43" s="23">
        <f>3195*C43</f>
        <v>6390</v>
      </c>
      <c r="F43" s="22"/>
      <c r="G43" s="23">
        <f t="shared" si="12"/>
        <v>6390</v>
      </c>
      <c r="H43" s="23"/>
      <c r="I43" s="23">
        <f>G43*0.1</f>
        <v>639</v>
      </c>
      <c r="J43" s="23"/>
      <c r="K43" s="23"/>
      <c r="L43" s="23"/>
      <c r="M43" s="23"/>
      <c r="N43" s="23"/>
      <c r="O43" s="23"/>
      <c r="P43" s="23">
        <f>8000*C43-G43</f>
        <v>9610</v>
      </c>
      <c r="Q43" s="23"/>
      <c r="R43" s="23">
        <f>SUM(G43:P43)</f>
        <v>16639</v>
      </c>
      <c r="S43" s="25">
        <f t="shared" si="13"/>
        <v>199668</v>
      </c>
    </row>
    <row r="44" spans="1:19" s="37" customFormat="1" ht="27.6" customHeight="1" thickBot="1" x14ac:dyDescent="0.3">
      <c r="A44" s="33"/>
      <c r="B44" s="34" t="s">
        <v>55</v>
      </c>
      <c r="C44" s="34">
        <f>SUM(C41:C43)</f>
        <v>4.5</v>
      </c>
      <c r="D44" s="34"/>
      <c r="E44" s="35">
        <f>SUM(E41:E43)</f>
        <v>16103.5</v>
      </c>
      <c r="F44" s="34"/>
      <c r="G44" s="35">
        <f>SUM(G41:G43)</f>
        <v>16103.5</v>
      </c>
      <c r="H44" s="35"/>
      <c r="I44" s="35">
        <f>SUM(I43:I43)</f>
        <v>639</v>
      </c>
      <c r="J44" s="35">
        <f>SUM(J42:J43)</f>
        <v>324.64</v>
      </c>
      <c r="K44" s="35"/>
      <c r="L44" s="35"/>
      <c r="M44" s="35"/>
      <c r="N44" s="35"/>
      <c r="O44" s="35"/>
      <c r="P44" s="35">
        <f>SUM(P41:P43)</f>
        <v>19896.5</v>
      </c>
      <c r="Q44" s="35"/>
      <c r="R44" s="35">
        <f>SUM(R41:R43)</f>
        <v>36963.64</v>
      </c>
      <c r="S44" s="36">
        <f>SUM(S41:S43)</f>
        <v>443563.68</v>
      </c>
    </row>
    <row r="45" spans="1:19" s="39" customFormat="1" ht="30" customHeight="1" x14ac:dyDescent="0.25">
      <c r="A45" s="98"/>
      <c r="B45" s="99" t="s">
        <v>81</v>
      </c>
      <c r="C45" s="100"/>
      <c r="D45" s="100"/>
      <c r="E45" s="101"/>
      <c r="F45" s="100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2"/>
    </row>
    <row r="46" spans="1:19" s="42" customFormat="1" x14ac:dyDescent="0.25">
      <c r="A46" s="43" t="s">
        <v>82</v>
      </c>
      <c r="B46" s="21" t="s">
        <v>83</v>
      </c>
      <c r="C46" s="22">
        <v>0.5</v>
      </c>
      <c r="D46" s="22">
        <v>10</v>
      </c>
      <c r="E46" s="23">
        <f>5815*C46</f>
        <v>2907.5</v>
      </c>
      <c r="F46" s="22"/>
      <c r="G46" s="23">
        <f>E46</f>
        <v>2907.5</v>
      </c>
      <c r="H46" s="23"/>
      <c r="I46" s="23"/>
      <c r="J46" s="40"/>
      <c r="K46" s="23">
        <f>G46*0.3</f>
        <v>872.25</v>
      </c>
      <c r="L46" s="41">
        <f>20000*C46-G46-K46</f>
        <v>6220.25</v>
      </c>
      <c r="M46" s="23"/>
      <c r="N46" s="23"/>
      <c r="O46" s="23"/>
      <c r="P46" s="23"/>
      <c r="Q46" s="23"/>
      <c r="R46" s="23">
        <f>G46+K46+L46</f>
        <v>10000</v>
      </c>
      <c r="S46" s="25">
        <f>R46*12</f>
        <v>120000</v>
      </c>
    </row>
    <row r="47" spans="1:19" s="42" customFormat="1" x14ac:dyDescent="0.25">
      <c r="A47" s="43" t="s">
        <v>84</v>
      </c>
      <c r="B47" s="21" t="s">
        <v>85</v>
      </c>
      <c r="C47" s="22">
        <v>3</v>
      </c>
      <c r="D47" s="22">
        <v>9</v>
      </c>
      <c r="E47" s="23">
        <f>5527*C47</f>
        <v>16581</v>
      </c>
      <c r="F47" s="22"/>
      <c r="G47" s="23">
        <f>E47</f>
        <v>16581</v>
      </c>
      <c r="H47" s="23"/>
      <c r="I47" s="23"/>
      <c r="J47" s="40"/>
      <c r="K47" s="23"/>
      <c r="L47" s="23"/>
      <c r="M47" s="23"/>
      <c r="N47" s="23"/>
      <c r="O47" s="23"/>
      <c r="P47" s="23">
        <f>8000*C47-G47</f>
        <v>7419</v>
      </c>
      <c r="Q47" s="23"/>
      <c r="R47" s="23">
        <f>G47+P47</f>
        <v>24000</v>
      </c>
      <c r="S47" s="25">
        <f t="shared" ref="S47:S51" si="14">R47*12</f>
        <v>288000</v>
      </c>
    </row>
    <row r="48" spans="1:19" s="42" customFormat="1" x14ac:dyDescent="0.25">
      <c r="A48" s="43" t="s">
        <v>86</v>
      </c>
      <c r="B48" s="21" t="s">
        <v>87</v>
      </c>
      <c r="C48" s="22">
        <v>1</v>
      </c>
      <c r="D48" s="22">
        <v>10</v>
      </c>
      <c r="E48" s="23">
        <v>5815</v>
      </c>
      <c r="F48" s="22"/>
      <c r="G48" s="23">
        <v>5815</v>
      </c>
      <c r="H48" s="23"/>
      <c r="I48" s="23"/>
      <c r="J48" s="40"/>
      <c r="K48" s="23">
        <f>G48*0.3</f>
        <v>1744.5</v>
      </c>
      <c r="L48" s="41">
        <f>13500-G48-K48</f>
        <v>5940.5</v>
      </c>
      <c r="M48" s="23"/>
      <c r="N48" s="23"/>
      <c r="O48" s="23"/>
      <c r="P48" s="23"/>
      <c r="Q48" s="23"/>
      <c r="R48" s="23">
        <f>G48+K48+L48</f>
        <v>13500</v>
      </c>
      <c r="S48" s="25">
        <f t="shared" si="14"/>
        <v>162000</v>
      </c>
    </row>
    <row r="49" spans="1:20" s="42" customFormat="1" x14ac:dyDescent="0.25">
      <c r="A49" s="43" t="s">
        <v>88</v>
      </c>
      <c r="B49" s="21" t="s">
        <v>89</v>
      </c>
      <c r="C49" s="22">
        <v>1</v>
      </c>
      <c r="D49" s="22">
        <v>4</v>
      </c>
      <c r="E49" s="23">
        <v>4058</v>
      </c>
      <c r="F49" s="22"/>
      <c r="G49" s="23">
        <v>4058</v>
      </c>
      <c r="H49" s="23"/>
      <c r="I49" s="23"/>
      <c r="J49" s="40"/>
      <c r="K49" s="23"/>
      <c r="L49" s="23"/>
      <c r="M49" s="23"/>
      <c r="N49" s="23"/>
      <c r="O49" s="23">
        <f>G49*200%</f>
        <v>8116</v>
      </c>
      <c r="P49" s="23"/>
      <c r="Q49" s="23"/>
      <c r="R49" s="23">
        <f>O49+G49</f>
        <v>12174</v>
      </c>
      <c r="S49" s="25">
        <f t="shared" si="14"/>
        <v>146088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5</v>
      </c>
      <c r="E50" s="23">
        <v>4345</v>
      </c>
      <c r="F50" s="23"/>
      <c r="G50" s="23">
        <f>E50+F50</f>
        <v>4345</v>
      </c>
      <c r="H50" s="23"/>
      <c r="I50" s="23"/>
      <c r="J50" s="23"/>
      <c r="K50" s="23"/>
      <c r="L50" s="23"/>
      <c r="M50" s="23"/>
      <c r="N50" s="23"/>
      <c r="O50" s="23"/>
      <c r="P50" s="23">
        <f>8000-G50</f>
        <v>3655</v>
      </c>
      <c r="Q50" s="32"/>
      <c r="R50" s="23">
        <f>G50+P50</f>
        <v>8000</v>
      </c>
      <c r="S50" s="25">
        <f t="shared" si="14"/>
        <v>96000</v>
      </c>
    </row>
    <row r="51" spans="1:20" x14ac:dyDescent="0.25">
      <c r="A51" s="43" t="s">
        <v>92</v>
      </c>
      <c r="B51" s="21" t="s">
        <v>93</v>
      </c>
      <c r="C51" s="22">
        <v>0.5</v>
      </c>
      <c r="D51" s="22">
        <v>9</v>
      </c>
      <c r="E51" s="23">
        <v>2763.5</v>
      </c>
      <c r="F51" s="22"/>
      <c r="G51" s="23">
        <f t="shared" ref="G51" si="15">E51+F51</f>
        <v>2763.5</v>
      </c>
      <c r="H51" s="23"/>
      <c r="I51" s="23"/>
      <c r="J51" s="23"/>
      <c r="K51" s="23">
        <f>G51*0.3</f>
        <v>829.05</v>
      </c>
      <c r="L51" s="23">
        <f>6750-G51-K51</f>
        <v>3157.45</v>
      </c>
      <c r="M51" s="23"/>
      <c r="N51" s="23"/>
      <c r="O51" s="23"/>
      <c r="P51" s="23"/>
      <c r="Q51" s="23"/>
      <c r="R51" s="23">
        <f>L51+K51+G51</f>
        <v>6750</v>
      </c>
      <c r="S51" s="25">
        <f t="shared" si="14"/>
        <v>81000</v>
      </c>
    </row>
    <row r="52" spans="1:20" s="45" customFormat="1" thickBot="1" x14ac:dyDescent="0.25">
      <c r="A52" s="103"/>
      <c r="B52" s="104" t="s">
        <v>55</v>
      </c>
      <c r="C52" s="105">
        <f>SUM(C46:C51)</f>
        <v>7</v>
      </c>
      <c r="D52" s="105"/>
      <c r="E52" s="106">
        <f>SUM(E46:E51)</f>
        <v>36470</v>
      </c>
      <c r="F52" s="105"/>
      <c r="G52" s="106">
        <f>SUM(G46:G51)</f>
        <v>36470</v>
      </c>
      <c r="H52" s="106"/>
      <c r="I52" s="106"/>
      <c r="J52" s="106"/>
      <c r="K52" s="106">
        <f>SUM(K46:K51)</f>
        <v>3445.8</v>
      </c>
      <c r="L52" s="106">
        <f>SUM(L46:L51)</f>
        <v>15318.2</v>
      </c>
      <c r="M52" s="106"/>
      <c r="N52" s="106"/>
      <c r="O52" s="106">
        <f>SUM(O46:O50)</f>
        <v>8116</v>
      </c>
      <c r="P52" s="106">
        <f>SUM(P46:P51)</f>
        <v>11074</v>
      </c>
      <c r="Q52" s="106"/>
      <c r="R52" s="106">
        <f>SUM(R46:R51)</f>
        <v>74424</v>
      </c>
      <c r="S52" s="107">
        <f>SUM(S46:S51)</f>
        <v>893088</v>
      </c>
    </row>
    <row r="53" spans="1:20" s="38" customFormat="1" ht="17.399999999999999" customHeight="1" x14ac:dyDescent="0.25">
      <c r="A53" s="108"/>
      <c r="B53" s="86" t="s">
        <v>94</v>
      </c>
      <c r="C53" s="85"/>
      <c r="D53" s="85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109"/>
      <c r="R53" s="94"/>
      <c r="S53" s="110"/>
      <c r="T53" s="46"/>
    </row>
    <row r="54" spans="1:20" s="38" customFormat="1" x14ac:dyDescent="0.25">
      <c r="A54" s="43" t="s">
        <v>95</v>
      </c>
      <c r="B54" s="21" t="s">
        <v>96</v>
      </c>
      <c r="C54" s="22">
        <v>0.5</v>
      </c>
      <c r="D54" s="22">
        <v>14</v>
      </c>
      <c r="E54" s="23">
        <f>7732*C54</f>
        <v>3866</v>
      </c>
      <c r="F54" s="23">
        <f>E54*10%</f>
        <v>386.6</v>
      </c>
      <c r="G54" s="23">
        <f>E54+F54</f>
        <v>4252.6000000000004</v>
      </c>
      <c r="H54" s="23"/>
      <c r="I54" s="23"/>
      <c r="J54" s="23"/>
      <c r="K54" s="23">
        <f>G54*0.3</f>
        <v>1275.78</v>
      </c>
      <c r="L54" s="23">
        <f>20000*C54-G54-K54</f>
        <v>4471.62</v>
      </c>
      <c r="M54" s="23"/>
      <c r="N54" s="23"/>
      <c r="O54" s="23"/>
      <c r="P54" s="23"/>
      <c r="Q54" s="32"/>
      <c r="R54" s="23">
        <f>G54+K54+L54</f>
        <v>10000</v>
      </c>
      <c r="S54" s="25">
        <f>R54*12</f>
        <v>120000</v>
      </c>
      <c r="T54" s="46"/>
    </row>
    <row r="55" spans="1:20" s="38" customFormat="1" x14ac:dyDescent="0.25">
      <c r="A55" s="43" t="s">
        <v>97</v>
      </c>
      <c r="B55" s="21" t="s">
        <v>98</v>
      </c>
      <c r="C55" s="22">
        <v>0.5</v>
      </c>
      <c r="D55" s="22">
        <v>13</v>
      </c>
      <c r="E55" s="23">
        <v>3626</v>
      </c>
      <c r="F55" s="23">
        <f>E55*0.15</f>
        <v>543.9</v>
      </c>
      <c r="G55" s="23">
        <f>E55+F55</f>
        <v>4169.8999999999996</v>
      </c>
      <c r="H55" s="23"/>
      <c r="I55" s="23"/>
      <c r="J55" s="23"/>
      <c r="K55" s="23">
        <f>G55*0.3</f>
        <v>1250.9699999999998</v>
      </c>
      <c r="L55" s="23">
        <f>20000*C55-G55-K55</f>
        <v>4579.130000000001</v>
      </c>
      <c r="M55" s="23"/>
      <c r="N55" s="23"/>
      <c r="O55" s="23"/>
      <c r="P55" s="23"/>
      <c r="Q55" s="32"/>
      <c r="R55" s="23">
        <f>G55+K55+L55</f>
        <v>10000</v>
      </c>
      <c r="S55" s="25">
        <f t="shared" ref="S55:S57" si="16">R55*12</f>
        <v>120000</v>
      </c>
      <c r="T55" s="46"/>
    </row>
    <row r="56" spans="1:20" s="38" customFormat="1" x14ac:dyDescent="0.25">
      <c r="A56" s="43" t="s">
        <v>99</v>
      </c>
      <c r="B56" s="21" t="s">
        <v>100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10000-G56-K56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si="16"/>
        <v>120000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1</v>
      </c>
      <c r="D57" s="22">
        <v>5</v>
      </c>
      <c r="E57" s="23">
        <v>4345</v>
      </c>
      <c r="F57" s="23"/>
      <c r="G57" s="23">
        <f>E57+F57</f>
        <v>4345</v>
      </c>
      <c r="H57" s="23"/>
      <c r="I57" s="23"/>
      <c r="J57" s="23"/>
      <c r="K57" s="23"/>
      <c r="L57" s="23"/>
      <c r="M57" s="23"/>
      <c r="N57" s="23"/>
      <c r="O57" s="23"/>
      <c r="P57" s="23">
        <f>8000-G57</f>
        <v>3655</v>
      </c>
      <c r="Q57" s="32"/>
      <c r="R57" s="23">
        <f>G57+P57</f>
        <v>8000</v>
      </c>
      <c r="S57" s="25">
        <f t="shared" si="16"/>
        <v>96000</v>
      </c>
      <c r="T57" s="46"/>
    </row>
    <row r="58" spans="1:20" s="49" customFormat="1" ht="13.8" thickBot="1" x14ac:dyDescent="0.3">
      <c r="A58" s="64"/>
      <c r="B58" s="47" t="s">
        <v>55</v>
      </c>
      <c r="C58" s="34">
        <v>2.5</v>
      </c>
      <c r="D58" s="34"/>
      <c r="E58" s="35">
        <f>SUM(E54:E57)</f>
        <v>15463</v>
      </c>
      <c r="F58" s="35">
        <f t="shared" ref="F58" si="17">SUM(F54:F57)</f>
        <v>1474.4</v>
      </c>
      <c r="G58" s="35">
        <f>SUM(G54:G57)</f>
        <v>16937.400000000001</v>
      </c>
      <c r="H58" s="35"/>
      <c r="I58" s="35"/>
      <c r="J58" s="35"/>
      <c r="K58" s="35">
        <f t="shared" ref="K58:L58" si="18">SUM(K54:K57)</f>
        <v>3777.72</v>
      </c>
      <c r="L58" s="35">
        <f t="shared" si="18"/>
        <v>13629.880000000001</v>
      </c>
      <c r="M58" s="35"/>
      <c r="N58" s="35"/>
      <c r="O58" s="35"/>
      <c r="P58" s="35">
        <f t="shared" ref="P58:Q58" si="19">SUM(P54:P57)</f>
        <v>3655</v>
      </c>
      <c r="Q58" s="35">
        <f t="shared" si="19"/>
        <v>0</v>
      </c>
      <c r="R58" s="35">
        <f>SUM(G58:Q58)</f>
        <v>38000</v>
      </c>
      <c r="S58" s="36">
        <f>SUM(S54:S57)</f>
        <v>456000</v>
      </c>
      <c r="T58" s="48"/>
    </row>
    <row r="59" spans="1:20" ht="24" customHeight="1" x14ac:dyDescent="0.25">
      <c r="A59" s="18"/>
      <c r="B59" s="86" t="s">
        <v>103</v>
      </c>
      <c r="C59" s="86"/>
      <c r="D59" s="86"/>
      <c r="E59" s="92"/>
      <c r="F59" s="86"/>
      <c r="G59" s="94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3"/>
    </row>
    <row r="60" spans="1:20" s="13" customFormat="1" ht="38.4" customHeight="1" x14ac:dyDescent="0.2">
      <c r="A60" s="28"/>
      <c r="B60" s="29" t="s">
        <v>104</v>
      </c>
      <c r="C60" s="22"/>
      <c r="D60" s="22"/>
      <c r="E60" s="23"/>
      <c r="F60" s="22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5"/>
    </row>
    <row r="61" spans="1:20" ht="13.95" customHeight="1" x14ac:dyDescent="0.25">
      <c r="A61" s="20" t="s">
        <v>105</v>
      </c>
      <c r="B61" s="21" t="s">
        <v>106</v>
      </c>
      <c r="C61" s="22">
        <v>1</v>
      </c>
      <c r="D61" s="22">
        <v>11</v>
      </c>
      <c r="E61" s="23">
        <v>6294</v>
      </c>
      <c r="F61" s="22">
        <f>E61*0.25</f>
        <v>1573.5</v>
      </c>
      <c r="G61" s="23">
        <f t="shared" ref="G61:G119" si="20">E61+F61</f>
        <v>7867.5</v>
      </c>
      <c r="H61" s="23"/>
      <c r="I61" s="23"/>
      <c r="J61" s="23"/>
      <c r="K61" s="23">
        <f>G61*0.3</f>
        <v>2360.25</v>
      </c>
      <c r="L61" s="41">
        <f>20000-G61-K61</f>
        <v>9772.25</v>
      </c>
      <c r="M61" s="23"/>
      <c r="N61" s="23"/>
      <c r="O61" s="23"/>
      <c r="P61" s="23"/>
      <c r="Q61" s="23"/>
      <c r="R61" s="23">
        <f t="shared" ref="R61:R73" si="21">G61+K61+L61</f>
        <v>20000</v>
      </c>
      <c r="S61" s="25">
        <f>R61*12</f>
        <v>240000</v>
      </c>
    </row>
    <row r="62" spans="1:20" x14ac:dyDescent="0.25">
      <c r="A62" s="20" t="s">
        <v>107</v>
      </c>
      <c r="B62" s="21" t="s">
        <v>108</v>
      </c>
      <c r="C62" s="22">
        <v>1.25</v>
      </c>
      <c r="D62" s="22">
        <v>12</v>
      </c>
      <c r="E62" s="23">
        <f>6773*C62</f>
        <v>8466.25</v>
      </c>
      <c r="F62" s="22"/>
      <c r="G62" s="23">
        <f t="shared" si="20"/>
        <v>8466.25</v>
      </c>
      <c r="H62" s="23"/>
      <c r="I62" s="23"/>
      <c r="J62" s="23"/>
      <c r="K62" s="23">
        <f t="shared" ref="K62:K75" si="22">G62*0.3</f>
        <v>2539.875</v>
      </c>
      <c r="L62" s="23">
        <f>20000*C62-G62-K62</f>
        <v>13993.875</v>
      </c>
      <c r="M62" s="23"/>
      <c r="N62" s="23"/>
      <c r="O62" s="23"/>
      <c r="P62" s="23"/>
      <c r="Q62" s="23"/>
      <c r="R62" s="23">
        <f t="shared" si="21"/>
        <v>25000</v>
      </c>
      <c r="S62" s="25">
        <f t="shared" ref="S62:S78" si="23">R62*12</f>
        <v>300000</v>
      </c>
    </row>
    <row r="63" spans="1:20" x14ac:dyDescent="0.25">
      <c r="A63" s="20" t="s">
        <v>109</v>
      </c>
      <c r="B63" s="21" t="s">
        <v>110</v>
      </c>
      <c r="C63" s="22">
        <v>1</v>
      </c>
      <c r="D63" s="22">
        <v>14</v>
      </c>
      <c r="E63" s="23">
        <v>7732</v>
      </c>
      <c r="F63" s="22"/>
      <c r="G63" s="23">
        <f t="shared" si="20"/>
        <v>7732</v>
      </c>
      <c r="H63" s="23"/>
      <c r="I63" s="23"/>
      <c r="J63" s="23"/>
      <c r="K63" s="23">
        <f t="shared" si="22"/>
        <v>2319.6</v>
      </c>
      <c r="L63" s="41">
        <f>20000-G63-K63</f>
        <v>9948.4</v>
      </c>
      <c r="M63" s="23"/>
      <c r="N63" s="23"/>
      <c r="O63" s="23"/>
      <c r="P63" s="23"/>
      <c r="Q63" s="23"/>
      <c r="R63" s="23">
        <f t="shared" si="21"/>
        <v>20000</v>
      </c>
      <c r="S63" s="25">
        <f t="shared" si="23"/>
        <v>240000</v>
      </c>
    </row>
    <row r="64" spans="1:20" x14ac:dyDescent="0.25">
      <c r="A64" s="20" t="s">
        <v>111</v>
      </c>
      <c r="B64" s="21" t="s">
        <v>112</v>
      </c>
      <c r="C64" s="22">
        <v>0.5</v>
      </c>
      <c r="D64" s="22">
        <v>14</v>
      </c>
      <c r="E64" s="23">
        <v>3868</v>
      </c>
      <c r="F64" s="22"/>
      <c r="G64" s="23">
        <f t="shared" si="20"/>
        <v>3868</v>
      </c>
      <c r="H64" s="23"/>
      <c r="I64" s="23"/>
      <c r="J64" s="23"/>
      <c r="K64" s="23">
        <f t="shared" si="22"/>
        <v>1160.3999999999999</v>
      </c>
      <c r="L64" s="41">
        <f>20000/2-G64-K64</f>
        <v>4971.6000000000004</v>
      </c>
      <c r="M64" s="23"/>
      <c r="N64" s="23"/>
      <c r="O64" s="23"/>
      <c r="P64" s="23"/>
      <c r="Q64" s="23"/>
      <c r="R64" s="23">
        <f t="shared" si="21"/>
        <v>10000</v>
      </c>
      <c r="S64" s="25">
        <f t="shared" si="23"/>
        <v>120000</v>
      </c>
    </row>
    <row r="65" spans="1:20" x14ac:dyDescent="0.25">
      <c r="A65" s="20" t="s">
        <v>113</v>
      </c>
      <c r="B65" s="21" t="s">
        <v>114</v>
      </c>
      <c r="C65" s="22">
        <v>0.25</v>
      </c>
      <c r="D65" s="22">
        <v>14</v>
      </c>
      <c r="E65" s="23">
        <f>7732*C65</f>
        <v>1933</v>
      </c>
      <c r="F65" s="22"/>
      <c r="G65" s="23">
        <f t="shared" si="20"/>
        <v>1933</v>
      </c>
      <c r="H65" s="23"/>
      <c r="I65" s="23"/>
      <c r="J65" s="23"/>
      <c r="K65" s="23">
        <f t="shared" si="22"/>
        <v>579.9</v>
      </c>
      <c r="L65" s="41">
        <f>20000*C65-G65-K65</f>
        <v>2487.1</v>
      </c>
      <c r="M65" s="23"/>
      <c r="N65" s="23"/>
      <c r="O65" s="23"/>
      <c r="P65" s="23"/>
      <c r="Q65" s="23"/>
      <c r="R65" s="23">
        <f t="shared" si="21"/>
        <v>5000</v>
      </c>
      <c r="S65" s="25">
        <f t="shared" si="23"/>
        <v>60000</v>
      </c>
    </row>
    <row r="66" spans="1:20" x14ac:dyDescent="0.25">
      <c r="A66" s="20" t="s">
        <v>115</v>
      </c>
      <c r="B66" s="21" t="s">
        <v>116</v>
      </c>
      <c r="C66" s="22">
        <v>2.75</v>
      </c>
      <c r="D66" s="22">
        <v>13</v>
      </c>
      <c r="E66" s="23">
        <f>7253*C66</f>
        <v>19945.75</v>
      </c>
      <c r="F66" s="22"/>
      <c r="G66" s="23">
        <f t="shared" si="20"/>
        <v>19945.75</v>
      </c>
      <c r="H66" s="23"/>
      <c r="I66" s="23"/>
      <c r="J66" s="23"/>
      <c r="K66" s="23">
        <f t="shared" si="22"/>
        <v>5983.7249999999995</v>
      </c>
      <c r="L66" s="41">
        <f t="shared" ref="L66:L71" si="24">20000*C66-G66-K66-N66</f>
        <v>26652.835000000003</v>
      </c>
      <c r="M66" s="23"/>
      <c r="N66" s="23">
        <f>879.16*C66</f>
        <v>2417.69</v>
      </c>
      <c r="O66" s="23"/>
      <c r="P66" s="23"/>
      <c r="Q66" s="23"/>
      <c r="R66" s="23">
        <f t="shared" ref="R66:R71" si="25">G66+K66+L66+N66</f>
        <v>55000</v>
      </c>
      <c r="S66" s="25">
        <f t="shared" si="23"/>
        <v>660000</v>
      </c>
    </row>
    <row r="67" spans="1:20" x14ac:dyDescent="0.25">
      <c r="A67" s="20" t="s">
        <v>115</v>
      </c>
      <c r="B67" s="21" t="s">
        <v>117</v>
      </c>
      <c r="C67" s="22">
        <v>0.5</v>
      </c>
      <c r="D67" s="22">
        <v>14</v>
      </c>
      <c r="E67" s="23">
        <f>7732*C67</f>
        <v>3866</v>
      </c>
      <c r="F67" s="22"/>
      <c r="G67" s="23">
        <f t="shared" si="20"/>
        <v>3866</v>
      </c>
      <c r="H67" s="23"/>
      <c r="I67" s="23"/>
      <c r="J67" s="23"/>
      <c r="K67" s="23">
        <f t="shared" si="22"/>
        <v>1159.8</v>
      </c>
      <c r="L67" s="41">
        <f t="shared" si="24"/>
        <v>4505.5999999999995</v>
      </c>
      <c r="M67" s="23"/>
      <c r="N67" s="23">
        <v>468.6</v>
      </c>
      <c r="O67" s="23"/>
      <c r="P67" s="23"/>
      <c r="Q67" s="23"/>
      <c r="R67" s="23">
        <f t="shared" si="25"/>
        <v>10000</v>
      </c>
      <c r="S67" s="25">
        <f t="shared" si="23"/>
        <v>120000</v>
      </c>
    </row>
    <row r="68" spans="1:20" x14ac:dyDescent="0.25">
      <c r="A68" s="20" t="s">
        <v>115</v>
      </c>
      <c r="B68" s="21" t="s">
        <v>118</v>
      </c>
      <c r="C68" s="22">
        <v>0.25</v>
      </c>
      <c r="D68" s="22">
        <v>14</v>
      </c>
      <c r="E68" s="23">
        <f>7732*C68</f>
        <v>1933</v>
      </c>
      <c r="F68" s="22"/>
      <c r="G68" s="23">
        <f t="shared" si="20"/>
        <v>1933</v>
      </c>
      <c r="H68" s="23"/>
      <c r="I68" s="23"/>
      <c r="J68" s="23"/>
      <c r="K68" s="23">
        <f t="shared" si="22"/>
        <v>579.9</v>
      </c>
      <c r="L68" s="41">
        <f t="shared" si="24"/>
        <v>2252.7999999999997</v>
      </c>
      <c r="M68" s="23"/>
      <c r="N68" s="23">
        <v>234.3</v>
      </c>
      <c r="O68" s="23"/>
      <c r="P68" s="23"/>
      <c r="Q68" s="23"/>
      <c r="R68" s="23">
        <f t="shared" si="25"/>
        <v>5000</v>
      </c>
      <c r="S68" s="25">
        <f t="shared" si="23"/>
        <v>60000</v>
      </c>
    </row>
    <row r="69" spans="1:20" x14ac:dyDescent="0.25">
      <c r="A69" s="20" t="s">
        <v>115</v>
      </c>
      <c r="B69" s="21" t="s">
        <v>119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60000</v>
      </c>
    </row>
    <row r="70" spans="1:20" x14ac:dyDescent="0.25">
      <c r="A70" s="20" t="s">
        <v>115</v>
      </c>
      <c r="B70" s="21" t="s">
        <v>120</v>
      </c>
      <c r="C70" s="22">
        <v>1</v>
      </c>
      <c r="D70" s="22">
        <v>14</v>
      </c>
      <c r="E70" s="23">
        <f>7732*C70</f>
        <v>7732</v>
      </c>
      <c r="F70" s="22"/>
      <c r="G70" s="23">
        <f t="shared" si="20"/>
        <v>7732</v>
      </c>
      <c r="H70" s="23"/>
      <c r="I70" s="23"/>
      <c r="J70" s="23"/>
      <c r="K70" s="23">
        <f t="shared" si="22"/>
        <v>2319.6</v>
      </c>
      <c r="L70" s="41">
        <f t="shared" si="24"/>
        <v>9011.1999999999989</v>
      </c>
      <c r="M70" s="23"/>
      <c r="N70" s="23">
        <v>937.2</v>
      </c>
      <c r="O70" s="23"/>
      <c r="P70" s="23"/>
      <c r="Q70" s="23"/>
      <c r="R70" s="23">
        <f t="shared" si="25"/>
        <v>20000</v>
      </c>
      <c r="S70" s="25">
        <f t="shared" si="23"/>
        <v>240000</v>
      </c>
    </row>
    <row r="71" spans="1:20" x14ac:dyDescent="0.25">
      <c r="A71" s="20" t="s">
        <v>115</v>
      </c>
      <c r="B71" s="21" t="s">
        <v>121</v>
      </c>
      <c r="C71" s="22">
        <v>0.5</v>
      </c>
      <c r="D71" s="22">
        <v>13</v>
      </c>
      <c r="E71" s="23">
        <f>7253*C71</f>
        <v>3626.5</v>
      </c>
      <c r="F71" s="22"/>
      <c r="G71" s="23">
        <f t="shared" si="20"/>
        <v>3626.5</v>
      </c>
      <c r="H71" s="23"/>
      <c r="I71" s="23"/>
      <c r="J71" s="23"/>
      <c r="K71" s="23">
        <f t="shared" si="22"/>
        <v>1087.95</v>
      </c>
      <c r="L71" s="41">
        <f t="shared" si="24"/>
        <v>4845.97</v>
      </c>
      <c r="M71" s="23"/>
      <c r="N71" s="23">
        <f>879.16*C71</f>
        <v>439.58</v>
      </c>
      <c r="O71" s="23"/>
      <c r="P71" s="23"/>
      <c r="Q71" s="23"/>
      <c r="R71" s="23">
        <f t="shared" si="25"/>
        <v>10000</v>
      </c>
      <c r="S71" s="25">
        <f t="shared" si="23"/>
        <v>120000</v>
      </c>
    </row>
    <row r="72" spans="1:20" s="13" customFormat="1" x14ac:dyDescent="0.25">
      <c r="A72" s="20" t="s">
        <v>115</v>
      </c>
      <c r="B72" s="21" t="s">
        <v>122</v>
      </c>
      <c r="C72" s="22">
        <v>0.25</v>
      </c>
      <c r="D72" s="22">
        <v>14</v>
      </c>
      <c r="E72" s="23">
        <f>7732*C72</f>
        <v>1933</v>
      </c>
      <c r="F72" s="22"/>
      <c r="G72" s="23">
        <f>E72+F72</f>
        <v>1933</v>
      </c>
      <c r="H72" s="23"/>
      <c r="I72" s="23"/>
      <c r="J72" s="23"/>
      <c r="K72" s="23">
        <f t="shared" si="22"/>
        <v>579.9</v>
      </c>
      <c r="L72" s="23">
        <f>20000*C72-G72-K72</f>
        <v>2487.1</v>
      </c>
      <c r="M72" s="23"/>
      <c r="N72" s="23">
        <v>234.3</v>
      </c>
      <c r="O72" s="23"/>
      <c r="P72" s="23"/>
      <c r="Q72" s="23"/>
      <c r="R72" s="23">
        <f>G72+K72+L72</f>
        <v>5000</v>
      </c>
      <c r="S72" s="25">
        <f t="shared" si="23"/>
        <v>60000</v>
      </c>
      <c r="T72" s="52"/>
    </row>
    <row r="73" spans="1:20" x14ac:dyDescent="0.25">
      <c r="A73" s="20" t="s">
        <v>123</v>
      </c>
      <c r="B73" s="21" t="s">
        <v>124</v>
      </c>
      <c r="C73" s="22">
        <v>1</v>
      </c>
      <c r="D73" s="22">
        <v>9</v>
      </c>
      <c r="E73" s="23">
        <v>5527</v>
      </c>
      <c r="F73" s="22">
        <f>E73*0.1</f>
        <v>552.70000000000005</v>
      </c>
      <c r="G73" s="23">
        <f t="shared" si="20"/>
        <v>6079.7</v>
      </c>
      <c r="H73" s="23"/>
      <c r="I73" s="23"/>
      <c r="J73" s="23"/>
      <c r="K73" s="23">
        <f t="shared" si="22"/>
        <v>1823.9099999999999</v>
      </c>
      <c r="L73" s="41">
        <v>5596.39</v>
      </c>
      <c r="M73" s="23"/>
      <c r="N73" s="23"/>
      <c r="O73" s="23"/>
      <c r="P73" s="23"/>
      <c r="Q73" s="23"/>
      <c r="R73" s="23">
        <f t="shared" si="21"/>
        <v>13500</v>
      </c>
      <c r="S73" s="25">
        <f t="shared" si="23"/>
        <v>162000</v>
      </c>
    </row>
    <row r="74" spans="1:20" x14ac:dyDescent="0.25">
      <c r="A74" s="20" t="s">
        <v>125</v>
      </c>
      <c r="B74" s="21" t="s">
        <v>126</v>
      </c>
      <c r="C74" s="22">
        <v>10</v>
      </c>
      <c r="D74" s="22">
        <v>9</v>
      </c>
      <c r="E74" s="23">
        <f>5527*C74</f>
        <v>55270</v>
      </c>
      <c r="F74" s="22"/>
      <c r="G74" s="23">
        <f t="shared" si="20"/>
        <v>55270</v>
      </c>
      <c r="H74" s="23"/>
      <c r="I74" s="23">
        <f t="shared" ref="I74:I76" si="26">G74*0.1</f>
        <v>5527</v>
      </c>
      <c r="J74" s="23"/>
      <c r="K74" s="23">
        <f t="shared" si="22"/>
        <v>16581</v>
      </c>
      <c r="L74" s="41">
        <f>13500*C74-G74-I74-K74-N74</f>
        <v>50922.6</v>
      </c>
      <c r="M74" s="23"/>
      <c r="N74" s="23">
        <f>669.94*C74</f>
        <v>6699.4000000000005</v>
      </c>
      <c r="O74" s="23"/>
      <c r="P74" s="23"/>
      <c r="Q74" s="23"/>
      <c r="R74" s="23">
        <f>G74+I74+K74+L74+N74</f>
        <v>135000</v>
      </c>
      <c r="S74" s="25">
        <f t="shared" si="23"/>
        <v>1620000</v>
      </c>
    </row>
    <row r="75" spans="1:20" x14ac:dyDescent="0.25">
      <c r="A75" s="20" t="s">
        <v>127</v>
      </c>
      <c r="B75" s="21" t="s">
        <v>128</v>
      </c>
      <c r="C75" s="22">
        <v>1</v>
      </c>
      <c r="D75" s="22">
        <v>6</v>
      </c>
      <c r="E75" s="23">
        <v>4633</v>
      </c>
      <c r="F75" s="22"/>
      <c r="G75" s="23">
        <f t="shared" si="20"/>
        <v>4633</v>
      </c>
      <c r="H75" s="23"/>
      <c r="I75" s="23">
        <f t="shared" si="26"/>
        <v>463.3</v>
      </c>
      <c r="J75" s="23"/>
      <c r="K75" s="23">
        <f t="shared" si="22"/>
        <v>1389.8999999999999</v>
      </c>
      <c r="L75" s="41">
        <f t="shared" ref="L75" si="27">13500-G75-I75-K75</f>
        <v>7013.8000000000011</v>
      </c>
      <c r="M75" s="23"/>
      <c r="N75" s="23"/>
      <c r="O75" s="23"/>
      <c r="P75" s="23"/>
      <c r="Q75" s="23"/>
      <c r="R75" s="23">
        <f t="shared" ref="R75" si="28">G75+I75+K75+L75</f>
        <v>13500</v>
      </c>
      <c r="S75" s="25">
        <f t="shared" si="23"/>
        <v>162000</v>
      </c>
    </row>
    <row r="76" spans="1:20" x14ac:dyDescent="0.25">
      <c r="A76" s="20" t="s">
        <v>129</v>
      </c>
      <c r="B76" s="21" t="s">
        <v>130</v>
      </c>
      <c r="C76" s="22">
        <v>6</v>
      </c>
      <c r="D76" s="22">
        <v>4</v>
      </c>
      <c r="E76" s="23">
        <f>4058*C76</f>
        <v>24348</v>
      </c>
      <c r="F76" s="22"/>
      <c r="G76" s="23">
        <f t="shared" si="20"/>
        <v>24348</v>
      </c>
      <c r="H76" s="23"/>
      <c r="I76" s="23">
        <f t="shared" si="26"/>
        <v>2434.8000000000002</v>
      </c>
      <c r="J76" s="23"/>
      <c r="K76" s="23"/>
      <c r="L76" s="23"/>
      <c r="M76" s="23"/>
      <c r="N76" s="23">
        <f>475.33*C76</f>
        <v>2851.98</v>
      </c>
      <c r="O76" s="23"/>
      <c r="P76" s="23">
        <f>8000*C76-G76</f>
        <v>23652</v>
      </c>
      <c r="Q76" s="23"/>
      <c r="R76" s="23">
        <f>E76+I76+P76+N76</f>
        <v>53286.780000000006</v>
      </c>
      <c r="S76" s="25">
        <f t="shared" si="23"/>
        <v>639441.3600000001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3</v>
      </c>
      <c r="E77" s="23">
        <v>3770</v>
      </c>
      <c r="F77" s="22"/>
      <c r="G77" s="23">
        <f t="shared" si="20"/>
        <v>3770</v>
      </c>
      <c r="H77" s="23"/>
      <c r="I77" s="23"/>
      <c r="J77" s="23"/>
      <c r="K77" s="23"/>
      <c r="L77" s="23"/>
      <c r="M77" s="23"/>
      <c r="N77" s="23"/>
      <c r="O77" s="23"/>
      <c r="P77" s="23">
        <f t="shared" ref="P77:P78" si="29">8000-G77</f>
        <v>4230</v>
      </c>
      <c r="Q77" s="23"/>
      <c r="R77" s="23">
        <f>G77+P77</f>
        <v>8000</v>
      </c>
      <c r="S77" s="25">
        <f t="shared" si="23"/>
        <v>96000</v>
      </c>
      <c r="T77" s="53"/>
    </row>
    <row r="78" spans="1:20" x14ac:dyDescent="0.25">
      <c r="A78" s="20" t="s">
        <v>133</v>
      </c>
      <c r="B78" s="21" t="s">
        <v>134</v>
      </c>
      <c r="C78" s="22">
        <v>1</v>
      </c>
      <c r="D78" s="22">
        <v>4</v>
      </c>
      <c r="E78" s="23">
        <v>4058</v>
      </c>
      <c r="F78" s="22"/>
      <c r="G78" s="23">
        <f t="shared" si="20"/>
        <v>4058</v>
      </c>
      <c r="H78" s="23"/>
      <c r="I78" s="23"/>
      <c r="J78" s="23"/>
      <c r="K78" s="23"/>
      <c r="L78" s="23"/>
      <c r="M78" s="23"/>
      <c r="N78" s="23"/>
      <c r="O78" s="23"/>
      <c r="P78" s="23">
        <f t="shared" si="29"/>
        <v>3942</v>
      </c>
      <c r="Q78" s="23"/>
      <c r="R78" s="23">
        <f>G78+P78</f>
        <v>8000</v>
      </c>
      <c r="S78" s="25">
        <f t="shared" si="23"/>
        <v>96000</v>
      </c>
      <c r="T78" s="53"/>
    </row>
    <row r="79" spans="1:20" s="27" customFormat="1" ht="24.6" customHeight="1" thickBot="1" x14ac:dyDescent="0.3">
      <c r="A79" s="64"/>
      <c r="B79" s="47" t="s">
        <v>55</v>
      </c>
      <c r="C79" s="34">
        <f>SUM(C61:C78)</f>
        <v>29.5</v>
      </c>
      <c r="D79" s="34"/>
      <c r="E79" s="35">
        <f>SUM(E61:E78)</f>
        <v>166868.5</v>
      </c>
      <c r="F79" s="34">
        <f>SUM(F61:F78)</f>
        <v>2126.1999999999998</v>
      </c>
      <c r="G79" s="35">
        <f>SUM(G61:G78)</f>
        <v>168994.7</v>
      </c>
      <c r="H79" s="35"/>
      <c r="I79" s="35">
        <f>SUM(I61:I78)</f>
        <v>8425.1</v>
      </c>
      <c r="J79" s="35"/>
      <c r="K79" s="35">
        <f>SUM(K61:K78)</f>
        <v>41045.610000000008</v>
      </c>
      <c r="L79" s="35">
        <f>SUM(L61:L78)</f>
        <v>156714.32</v>
      </c>
      <c r="M79" s="35"/>
      <c r="N79" s="35">
        <f>SUM(N66:N78)</f>
        <v>14517.35</v>
      </c>
      <c r="O79" s="35"/>
      <c r="P79" s="35">
        <f>SUM(P61:P78)</f>
        <v>31824</v>
      </c>
      <c r="Q79" s="35"/>
      <c r="R79" s="35">
        <f>SUM(R61:R78)</f>
        <v>421286.78</v>
      </c>
      <c r="S79" s="36">
        <f>SUM(S61:S78)</f>
        <v>5055441.3600000003</v>
      </c>
      <c r="T79" s="54"/>
    </row>
    <row r="80" spans="1:20" s="13" customFormat="1" ht="27.6" customHeight="1" x14ac:dyDescent="0.2">
      <c r="A80" s="18"/>
      <c r="B80" s="55" t="s">
        <v>135</v>
      </c>
      <c r="C80" s="85"/>
      <c r="D80" s="85"/>
      <c r="E80" s="94"/>
      <c r="F80" s="85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110"/>
      <c r="T80" s="52"/>
    </row>
    <row r="81" spans="1:20" s="13" customFormat="1" x14ac:dyDescent="0.25">
      <c r="A81" s="20" t="s">
        <v>136</v>
      </c>
      <c r="B81" s="21" t="s">
        <v>96</v>
      </c>
      <c r="C81" s="22">
        <v>1</v>
      </c>
      <c r="D81" s="22">
        <v>12</v>
      </c>
      <c r="E81" s="23">
        <v>6773</v>
      </c>
      <c r="F81" s="22">
        <f>E81*0.25</f>
        <v>1693.25</v>
      </c>
      <c r="G81" s="23">
        <f t="shared" ref="G81:G107" si="30">E81+F81</f>
        <v>8466.25</v>
      </c>
      <c r="H81" s="23"/>
      <c r="I81" s="23"/>
      <c r="J81" s="23"/>
      <c r="K81" s="23">
        <f>G81*0.3</f>
        <v>2539.875</v>
      </c>
      <c r="L81" s="23">
        <f t="shared" ref="L81" si="31">20000-G81-K81</f>
        <v>8993.875</v>
      </c>
      <c r="M81" s="23"/>
      <c r="N81" s="23"/>
      <c r="O81" s="23"/>
      <c r="P81" s="23"/>
      <c r="Q81" s="23"/>
      <c r="R81" s="23">
        <f t="shared" ref="R81:R83" si="32">G81+K81+L81</f>
        <v>20000</v>
      </c>
      <c r="S81" s="25">
        <f>R81*12</f>
        <v>240000</v>
      </c>
      <c r="T81" s="52"/>
    </row>
    <row r="82" spans="1:20" s="13" customFormat="1" x14ac:dyDescent="0.25">
      <c r="A82" s="20" t="s">
        <v>137</v>
      </c>
      <c r="B82" s="21" t="s">
        <v>138</v>
      </c>
      <c r="C82" s="22">
        <v>1.5</v>
      </c>
      <c r="D82" s="22">
        <v>14</v>
      </c>
      <c r="E82" s="23">
        <v>11598</v>
      </c>
      <c r="F82" s="22"/>
      <c r="G82" s="23">
        <f t="shared" si="30"/>
        <v>11598</v>
      </c>
      <c r="H82" s="23"/>
      <c r="I82" s="23"/>
      <c r="J82" s="23"/>
      <c r="K82" s="23">
        <f t="shared" ref="K82:K105" si="33">G82*0.3</f>
        <v>3479.4</v>
      </c>
      <c r="L82" s="23">
        <f>30000-G82-K82</f>
        <v>14922.6</v>
      </c>
      <c r="M82" s="23"/>
      <c r="N82" s="23"/>
      <c r="O82" s="23"/>
      <c r="P82" s="23"/>
      <c r="Q82" s="23"/>
      <c r="R82" s="23">
        <f t="shared" si="32"/>
        <v>30000</v>
      </c>
      <c r="S82" s="25">
        <f t="shared" ref="S82:S107" si="34">R82*12</f>
        <v>360000</v>
      </c>
      <c r="T82" s="52"/>
    </row>
    <row r="83" spans="1:20" s="13" customFormat="1" x14ac:dyDescent="0.25">
      <c r="A83" s="20" t="s">
        <v>139</v>
      </c>
      <c r="B83" s="21" t="s">
        <v>140</v>
      </c>
      <c r="C83" s="22">
        <v>1</v>
      </c>
      <c r="D83" s="22">
        <v>12</v>
      </c>
      <c r="E83" s="23">
        <v>6773</v>
      </c>
      <c r="F83" s="23">
        <f>E83*0.15</f>
        <v>1015.9499999999999</v>
      </c>
      <c r="G83" s="23">
        <f t="shared" si="30"/>
        <v>7788.95</v>
      </c>
      <c r="H83" s="23"/>
      <c r="I83" s="23"/>
      <c r="J83" s="23"/>
      <c r="K83" s="23">
        <f t="shared" si="33"/>
        <v>2336.6849999999999</v>
      </c>
      <c r="L83" s="23">
        <f t="shared" ref="L83" si="35">20000-G83-K83</f>
        <v>9874.3649999999998</v>
      </c>
      <c r="M83" s="23"/>
      <c r="N83" s="23"/>
      <c r="O83" s="23"/>
      <c r="P83" s="23"/>
      <c r="Q83" s="23"/>
      <c r="R83" s="23">
        <f t="shared" si="32"/>
        <v>20000</v>
      </c>
      <c r="S83" s="25">
        <f t="shared" si="34"/>
        <v>240000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</v>
      </c>
      <c r="D84" s="22">
        <v>11</v>
      </c>
      <c r="E84" s="23">
        <v>6294</v>
      </c>
      <c r="F84" s="22"/>
      <c r="G84" s="23">
        <f t="shared" si="30"/>
        <v>6294</v>
      </c>
      <c r="H84" s="23"/>
      <c r="I84" s="23"/>
      <c r="J84" s="23"/>
      <c r="K84" s="23">
        <f t="shared" si="33"/>
        <v>1888.1999999999998</v>
      </c>
      <c r="L84" s="23">
        <f>20000-G84-K84</f>
        <v>11817.8</v>
      </c>
      <c r="M84" s="23"/>
      <c r="N84" s="23"/>
      <c r="O84" s="23"/>
      <c r="P84" s="23"/>
      <c r="Q84" s="23"/>
      <c r="R84" s="23">
        <f>G84+K84+L84</f>
        <v>20000</v>
      </c>
      <c r="S84" s="25">
        <f t="shared" si="34"/>
        <v>240000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 t="shared" ref="L85" si="36">20000-G85-K85</f>
        <v>11817.8</v>
      </c>
      <c r="M85" s="23"/>
      <c r="N85" s="23"/>
      <c r="O85" s="23"/>
      <c r="P85" s="23"/>
      <c r="Q85" s="23"/>
      <c r="R85" s="23">
        <f t="shared" ref="R85:R99" si="37">G85+K85+L85</f>
        <v>20000</v>
      </c>
      <c r="S85" s="25">
        <f t="shared" si="34"/>
        <v>240000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0.5</v>
      </c>
      <c r="D86" s="22">
        <v>14</v>
      </c>
      <c r="E86" s="23">
        <f>7732*C86</f>
        <v>3866</v>
      </c>
      <c r="F86" s="22"/>
      <c r="G86" s="23">
        <f t="shared" si="30"/>
        <v>3866</v>
      </c>
      <c r="H86" s="23"/>
      <c r="I86" s="23"/>
      <c r="J86" s="23"/>
      <c r="K86" s="23">
        <f t="shared" si="33"/>
        <v>1159.8</v>
      </c>
      <c r="L86" s="23">
        <f>20000*C86-G86-K86</f>
        <v>4974.2</v>
      </c>
      <c r="M86" s="23"/>
      <c r="N86" s="23"/>
      <c r="O86" s="23"/>
      <c r="P86" s="23"/>
      <c r="Q86" s="23"/>
      <c r="R86" s="23">
        <f t="shared" si="37"/>
        <v>10000</v>
      </c>
      <c r="S86" s="25">
        <f t="shared" si="34"/>
        <v>120000</v>
      </c>
      <c r="T86" s="52"/>
    </row>
    <row r="87" spans="1:20" s="13" customFormat="1" x14ac:dyDescent="0.25">
      <c r="A87" s="20" t="s">
        <v>147</v>
      </c>
      <c r="B87" s="21" t="s">
        <v>100</v>
      </c>
      <c r="C87" s="22">
        <v>0.5</v>
      </c>
      <c r="D87" s="22">
        <v>11</v>
      </c>
      <c r="E87" s="23">
        <v>3147</v>
      </c>
      <c r="F87" s="23">
        <f>E87*0.15</f>
        <v>472.04999999999995</v>
      </c>
      <c r="G87" s="23">
        <f t="shared" si="30"/>
        <v>3619.05</v>
      </c>
      <c r="H87" s="23"/>
      <c r="I87" s="23"/>
      <c r="J87" s="23"/>
      <c r="K87" s="23">
        <f t="shared" si="33"/>
        <v>1085.7149999999999</v>
      </c>
      <c r="L87" s="23">
        <f>20000/2-G87-K87</f>
        <v>5295.2349999999997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120000</v>
      </c>
      <c r="T87" s="52"/>
    </row>
    <row r="88" spans="1:20" s="13" customFormat="1" x14ac:dyDescent="0.25">
      <c r="A88" s="20" t="s">
        <v>148</v>
      </c>
      <c r="B88" s="21" t="s">
        <v>149</v>
      </c>
      <c r="C88" s="22">
        <v>2</v>
      </c>
      <c r="D88" s="22">
        <v>14</v>
      </c>
      <c r="E88" s="23">
        <f>7732*C88</f>
        <v>15464</v>
      </c>
      <c r="F88" s="23">
        <f>E88*0.15</f>
        <v>2319.6</v>
      </c>
      <c r="G88" s="23">
        <f t="shared" si="30"/>
        <v>17783.599999999999</v>
      </c>
      <c r="H88" s="23"/>
      <c r="I88" s="23"/>
      <c r="J88" s="23"/>
      <c r="K88" s="23">
        <f t="shared" si="33"/>
        <v>5335.079999999999</v>
      </c>
      <c r="L88" s="23">
        <f>20000*C88-G88-K88</f>
        <v>16881.320000000003</v>
      </c>
      <c r="M88" s="23"/>
      <c r="N88" s="23"/>
      <c r="O88" s="23"/>
      <c r="P88" s="23"/>
      <c r="Q88" s="23"/>
      <c r="R88" s="23">
        <f t="shared" si="37"/>
        <v>40000</v>
      </c>
      <c r="S88" s="25">
        <f t="shared" si="34"/>
        <v>480000</v>
      </c>
      <c r="T88" s="52"/>
    </row>
    <row r="89" spans="1:20" s="13" customFormat="1" x14ac:dyDescent="0.25">
      <c r="A89" s="20" t="s">
        <v>150</v>
      </c>
      <c r="B89" s="21" t="s">
        <v>151</v>
      </c>
      <c r="C89" s="22">
        <v>1</v>
      </c>
      <c r="D89" s="22">
        <v>13</v>
      </c>
      <c r="E89" s="23">
        <v>7253</v>
      </c>
      <c r="F89" s="22"/>
      <c r="G89" s="23">
        <f t="shared" si="30"/>
        <v>7253</v>
      </c>
      <c r="H89" s="23"/>
      <c r="I89" s="23"/>
      <c r="J89" s="23"/>
      <c r="K89" s="23">
        <f t="shared" si="33"/>
        <v>2175.9</v>
      </c>
      <c r="L89" s="23">
        <f>20000-G89-K89</f>
        <v>10571.1</v>
      </c>
      <c r="M89" s="23"/>
      <c r="N89" s="23"/>
      <c r="O89" s="23"/>
      <c r="P89" s="23"/>
      <c r="Q89" s="23"/>
      <c r="R89" s="23">
        <f t="shared" si="37"/>
        <v>20000</v>
      </c>
      <c r="S89" s="25">
        <f t="shared" si="34"/>
        <v>240000</v>
      </c>
      <c r="T89" s="52"/>
    </row>
    <row r="90" spans="1:20" x14ac:dyDescent="0.25">
      <c r="A90" s="20" t="s">
        <v>152</v>
      </c>
      <c r="B90" s="21" t="s">
        <v>153</v>
      </c>
      <c r="C90" s="22">
        <v>1</v>
      </c>
      <c r="D90" s="22">
        <v>14</v>
      </c>
      <c r="E90" s="23">
        <v>7732</v>
      </c>
      <c r="F90" s="23">
        <f>E90*0.15</f>
        <v>1159.8</v>
      </c>
      <c r="G90" s="23">
        <f t="shared" si="30"/>
        <v>8891.7999999999993</v>
      </c>
      <c r="H90" s="23"/>
      <c r="I90" s="23"/>
      <c r="J90" s="23"/>
      <c r="K90" s="23">
        <f t="shared" si="33"/>
        <v>2667.5399999999995</v>
      </c>
      <c r="L90" s="23">
        <f>20000-G90-K90</f>
        <v>8440.6600000000017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240000</v>
      </c>
      <c r="T90" s="53"/>
    </row>
    <row r="91" spans="1:20" s="13" customFormat="1" x14ac:dyDescent="0.25">
      <c r="A91" s="20" t="s">
        <v>115</v>
      </c>
      <c r="B91" s="21" t="s">
        <v>154</v>
      </c>
      <c r="C91" s="22">
        <v>0.25</v>
      </c>
      <c r="D91" s="22">
        <v>14</v>
      </c>
      <c r="E91" s="23">
        <f>7732*C91</f>
        <v>1933</v>
      </c>
      <c r="F91" s="22"/>
      <c r="G91" s="23">
        <f>E91+F91</f>
        <v>1933</v>
      </c>
      <c r="H91" s="23"/>
      <c r="I91" s="23"/>
      <c r="J91" s="23"/>
      <c r="K91" s="23">
        <f t="shared" si="33"/>
        <v>579.9</v>
      </c>
      <c r="L91" s="23">
        <f>20000*C91-G91-K91</f>
        <v>2487.1</v>
      </c>
      <c r="M91" s="23"/>
      <c r="N91" s="23"/>
      <c r="O91" s="23"/>
      <c r="P91" s="23"/>
      <c r="Q91" s="23"/>
      <c r="R91" s="23">
        <f>G91+K91+L91</f>
        <v>5000</v>
      </c>
      <c r="S91" s="25">
        <f t="shared" si="34"/>
        <v>60000</v>
      </c>
      <c r="T91" s="52"/>
    </row>
    <row r="92" spans="1:20" s="13" customFormat="1" x14ac:dyDescent="0.25">
      <c r="A92" s="20" t="s">
        <v>155</v>
      </c>
      <c r="B92" s="21" t="s">
        <v>156</v>
      </c>
      <c r="C92" s="22">
        <v>0.5</v>
      </c>
      <c r="D92" s="22">
        <v>14</v>
      </c>
      <c r="E92" s="23">
        <v>3866</v>
      </c>
      <c r="F92" s="22"/>
      <c r="G92" s="23">
        <f t="shared" si="30"/>
        <v>3866</v>
      </c>
      <c r="H92" s="23"/>
      <c r="I92" s="23"/>
      <c r="J92" s="23"/>
      <c r="K92" s="23">
        <f t="shared" si="33"/>
        <v>1159.8</v>
      </c>
      <c r="L92" s="23">
        <f>20000/2-G92-K92</f>
        <v>4974.2</v>
      </c>
      <c r="M92" s="23"/>
      <c r="N92" s="23"/>
      <c r="O92" s="23"/>
      <c r="P92" s="23"/>
      <c r="Q92" s="23"/>
      <c r="R92" s="23">
        <f t="shared" si="37"/>
        <v>10000</v>
      </c>
      <c r="S92" s="25">
        <f t="shared" si="34"/>
        <v>120000</v>
      </c>
      <c r="T92" s="52"/>
    </row>
    <row r="93" spans="1:20" s="13" customFormat="1" x14ac:dyDescent="0.25">
      <c r="A93" s="20" t="s">
        <v>157</v>
      </c>
      <c r="B93" s="21" t="s">
        <v>158</v>
      </c>
      <c r="C93" s="22">
        <v>0.5</v>
      </c>
      <c r="D93" s="22">
        <v>11</v>
      </c>
      <c r="E93" s="23">
        <v>3147</v>
      </c>
      <c r="F93" s="22"/>
      <c r="G93" s="23">
        <f t="shared" si="30"/>
        <v>3147</v>
      </c>
      <c r="H93" s="23"/>
      <c r="I93" s="23"/>
      <c r="J93" s="23"/>
      <c r="K93" s="23">
        <f t="shared" si="33"/>
        <v>944.09999999999991</v>
      </c>
      <c r="L93" s="23">
        <f>20000/2-G93-K93</f>
        <v>5908.9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120000</v>
      </c>
      <c r="T93" s="52"/>
    </row>
    <row r="94" spans="1:20" s="56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120000</v>
      </c>
    </row>
    <row r="95" spans="1:20" s="13" customFormat="1" x14ac:dyDescent="0.25">
      <c r="A95" s="20" t="s">
        <v>161</v>
      </c>
      <c r="B95" s="21" t="s">
        <v>162</v>
      </c>
      <c r="C95" s="22">
        <v>1</v>
      </c>
      <c r="D95" s="22">
        <v>14</v>
      </c>
      <c r="E95" s="23">
        <v>7732</v>
      </c>
      <c r="F95" s="22"/>
      <c r="G95" s="23">
        <f t="shared" si="30"/>
        <v>7732</v>
      </c>
      <c r="H95" s="23"/>
      <c r="I95" s="23"/>
      <c r="J95" s="23"/>
      <c r="K95" s="23">
        <f t="shared" si="33"/>
        <v>2319.6</v>
      </c>
      <c r="L95" s="23">
        <f t="shared" ref="L95" si="38">20000-G95-K95</f>
        <v>9948.4</v>
      </c>
      <c r="M95" s="23"/>
      <c r="N95" s="23"/>
      <c r="O95" s="23"/>
      <c r="P95" s="23"/>
      <c r="Q95" s="23"/>
      <c r="R95" s="23">
        <f t="shared" si="37"/>
        <v>20000</v>
      </c>
      <c r="S95" s="25">
        <f t="shared" si="34"/>
        <v>240000</v>
      </c>
      <c r="T95" s="52"/>
    </row>
    <row r="96" spans="1:20" x14ac:dyDescent="0.25">
      <c r="A96" s="20" t="s">
        <v>163</v>
      </c>
      <c r="B96" s="21" t="s">
        <v>108</v>
      </c>
      <c r="C96" s="22">
        <v>0.5</v>
      </c>
      <c r="D96" s="22">
        <v>10</v>
      </c>
      <c r="E96" s="23">
        <v>2907.5</v>
      </c>
      <c r="F96" s="22"/>
      <c r="G96" s="23">
        <f t="shared" si="30"/>
        <v>2907.5</v>
      </c>
      <c r="H96" s="23"/>
      <c r="I96" s="23"/>
      <c r="J96" s="23"/>
      <c r="K96" s="23">
        <f t="shared" si="33"/>
        <v>872.25</v>
      </c>
      <c r="L96" s="23">
        <f>20000/2-G96-K96</f>
        <v>6220.25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120000</v>
      </c>
      <c r="T96" s="53"/>
    </row>
    <row r="97" spans="1:20" s="13" customFormat="1" x14ac:dyDescent="0.25">
      <c r="A97" s="20" t="s">
        <v>164</v>
      </c>
      <c r="B97" s="21" t="s">
        <v>165</v>
      </c>
      <c r="C97" s="22">
        <v>1.5</v>
      </c>
      <c r="D97" s="22">
        <v>14</v>
      </c>
      <c r="E97" s="23">
        <f>7732*C97</f>
        <v>11598</v>
      </c>
      <c r="F97" s="22"/>
      <c r="G97" s="23">
        <f t="shared" si="30"/>
        <v>11598</v>
      </c>
      <c r="H97" s="23"/>
      <c r="I97" s="23"/>
      <c r="J97" s="23"/>
      <c r="K97" s="23">
        <f t="shared" si="33"/>
        <v>3479.4</v>
      </c>
      <c r="L97" s="23">
        <f>20000*C97-G97-K97</f>
        <v>14922.6</v>
      </c>
      <c r="M97" s="23"/>
      <c r="N97" s="23"/>
      <c r="O97" s="23"/>
      <c r="P97" s="23"/>
      <c r="Q97" s="23"/>
      <c r="R97" s="23">
        <f t="shared" si="37"/>
        <v>30000</v>
      </c>
      <c r="S97" s="25">
        <f t="shared" si="34"/>
        <v>360000</v>
      </c>
      <c r="T97" s="52"/>
    </row>
    <row r="98" spans="1:20" x14ac:dyDescent="0.25">
      <c r="A98" s="20" t="s">
        <v>166</v>
      </c>
      <c r="B98" s="21" t="s">
        <v>167</v>
      </c>
      <c r="C98" s="22">
        <v>0.5</v>
      </c>
      <c r="D98" s="22">
        <v>13</v>
      </c>
      <c r="E98" s="23">
        <f>7523*C98</f>
        <v>3761.5</v>
      </c>
      <c r="F98" s="22"/>
      <c r="G98" s="23">
        <f t="shared" si="30"/>
        <v>3761.5</v>
      </c>
      <c r="H98" s="23"/>
      <c r="I98" s="23"/>
      <c r="J98" s="23"/>
      <c r="K98" s="23">
        <f t="shared" si="33"/>
        <v>1128.45</v>
      </c>
      <c r="L98" s="23">
        <f>20000/2-G98-K98</f>
        <v>5110.05</v>
      </c>
      <c r="M98" s="23"/>
      <c r="N98" s="23"/>
      <c r="O98" s="23"/>
      <c r="P98" s="23"/>
      <c r="Q98" s="23"/>
      <c r="R98" s="23">
        <f t="shared" si="37"/>
        <v>10000</v>
      </c>
      <c r="S98" s="25">
        <f t="shared" si="34"/>
        <v>120000</v>
      </c>
      <c r="T98" s="53"/>
    </row>
    <row r="99" spans="1:20" x14ac:dyDescent="0.25">
      <c r="A99" s="20" t="s">
        <v>168</v>
      </c>
      <c r="B99" s="21" t="s">
        <v>169</v>
      </c>
      <c r="C99" s="22">
        <v>0.5</v>
      </c>
      <c r="D99" s="22">
        <v>14</v>
      </c>
      <c r="E99" s="23">
        <v>3866</v>
      </c>
      <c r="F99" s="22"/>
      <c r="G99" s="23">
        <f t="shared" si="30"/>
        <v>3866</v>
      </c>
      <c r="H99" s="23"/>
      <c r="I99" s="23"/>
      <c r="J99" s="23"/>
      <c r="K99" s="23">
        <f t="shared" si="33"/>
        <v>1159.8</v>
      </c>
      <c r="L99" s="23">
        <f>20000/2-G99-K99</f>
        <v>4974.2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120000</v>
      </c>
      <c r="T99" s="53"/>
    </row>
    <row r="100" spans="1:20" x14ac:dyDescent="0.25">
      <c r="A100" s="20" t="s">
        <v>170</v>
      </c>
      <c r="B100" s="21" t="s">
        <v>124</v>
      </c>
      <c r="C100" s="22">
        <v>0.5</v>
      </c>
      <c r="D100" s="22">
        <v>9</v>
      </c>
      <c r="E100" s="23">
        <f>5527*C100</f>
        <v>2763.5</v>
      </c>
      <c r="F100" s="22"/>
      <c r="G100" s="23">
        <f t="shared" si="30"/>
        <v>2763.5</v>
      </c>
      <c r="H100" s="23"/>
      <c r="I100" s="23"/>
      <c r="J100" s="23"/>
      <c r="K100" s="23">
        <f t="shared" si="33"/>
        <v>829.05</v>
      </c>
      <c r="L100" s="23">
        <f>13500*C100-G100-K100</f>
        <v>3157.45</v>
      </c>
      <c r="M100" s="23"/>
      <c r="N100" s="23"/>
      <c r="O100" s="23"/>
      <c r="P100" s="23"/>
      <c r="Q100" s="23"/>
      <c r="R100" s="23">
        <f>G100+K100+L100</f>
        <v>6750</v>
      </c>
      <c r="S100" s="25">
        <f t="shared" si="34"/>
        <v>81000</v>
      </c>
      <c r="T100" s="53"/>
    </row>
    <row r="101" spans="1:20" x14ac:dyDescent="0.25">
      <c r="A101" s="20" t="s">
        <v>171</v>
      </c>
      <c r="B101" s="21" t="s">
        <v>172</v>
      </c>
      <c r="C101" s="22">
        <v>1</v>
      </c>
      <c r="D101" s="22">
        <v>9</v>
      </c>
      <c r="E101" s="23">
        <v>5527</v>
      </c>
      <c r="F101" s="22">
        <f>E101*0.15</f>
        <v>829.05</v>
      </c>
      <c r="G101" s="23">
        <f t="shared" si="30"/>
        <v>6356.05</v>
      </c>
      <c r="H101" s="23"/>
      <c r="I101" s="23"/>
      <c r="J101" s="23"/>
      <c r="K101" s="23">
        <f t="shared" si="33"/>
        <v>1906.8150000000001</v>
      </c>
      <c r="L101" s="23">
        <f>13500-G101-K101</f>
        <v>5237.1350000000002</v>
      </c>
      <c r="M101" s="23"/>
      <c r="N101" s="23"/>
      <c r="O101" s="23"/>
      <c r="P101" s="23"/>
      <c r="Q101" s="23"/>
      <c r="R101" s="23">
        <f>G101+K101+L101</f>
        <v>13500</v>
      </c>
      <c r="S101" s="25">
        <f t="shared" si="34"/>
        <v>162000</v>
      </c>
      <c r="T101" s="53"/>
    </row>
    <row r="102" spans="1:20" x14ac:dyDescent="0.25">
      <c r="A102" s="20" t="s">
        <v>173</v>
      </c>
      <c r="B102" s="21" t="s">
        <v>174</v>
      </c>
      <c r="C102" s="22">
        <v>1.5</v>
      </c>
      <c r="D102" s="22">
        <v>7</v>
      </c>
      <c r="E102" s="23">
        <v>7380</v>
      </c>
      <c r="F102" s="22"/>
      <c r="G102" s="23">
        <f t="shared" si="30"/>
        <v>7380</v>
      </c>
      <c r="H102" s="23"/>
      <c r="I102" s="23">
        <f>G102*0.1</f>
        <v>738</v>
      </c>
      <c r="J102" s="23"/>
      <c r="K102" s="23">
        <f t="shared" si="33"/>
        <v>2214</v>
      </c>
      <c r="L102" s="23">
        <f>13500*1.5-G102-I102-K102</f>
        <v>9918</v>
      </c>
      <c r="M102" s="23"/>
      <c r="N102" s="23"/>
      <c r="O102" s="23"/>
      <c r="P102" s="23"/>
      <c r="Q102" s="23"/>
      <c r="R102" s="23">
        <f>G102+I102+K102+L102</f>
        <v>20250</v>
      </c>
      <c r="S102" s="25">
        <f t="shared" si="34"/>
        <v>243000</v>
      </c>
      <c r="T102" s="53"/>
    </row>
    <row r="103" spans="1:20" x14ac:dyDescent="0.25">
      <c r="A103" s="20" t="s">
        <v>175</v>
      </c>
      <c r="B103" s="21" t="s">
        <v>87</v>
      </c>
      <c r="C103" s="22">
        <v>6</v>
      </c>
      <c r="D103" s="22">
        <v>9</v>
      </c>
      <c r="E103" s="23">
        <f>5527*C103</f>
        <v>33162</v>
      </c>
      <c r="F103" s="22"/>
      <c r="G103" s="23">
        <f t="shared" si="30"/>
        <v>33162</v>
      </c>
      <c r="H103" s="23"/>
      <c r="I103" s="23"/>
      <c r="J103" s="23"/>
      <c r="K103" s="23">
        <f t="shared" si="33"/>
        <v>9948.6</v>
      </c>
      <c r="L103" s="23">
        <f>13500*C103-G103-K103</f>
        <v>37889.4</v>
      </c>
      <c r="M103" s="23"/>
      <c r="N103" s="23"/>
      <c r="O103" s="23"/>
      <c r="P103" s="23"/>
      <c r="Q103" s="23"/>
      <c r="R103" s="23">
        <f t="shared" ref="R103" si="39">G103+K103+L103</f>
        <v>81000</v>
      </c>
      <c r="S103" s="25">
        <f t="shared" si="34"/>
        <v>972000</v>
      </c>
      <c r="T103" s="53"/>
    </row>
    <row r="104" spans="1:20" x14ac:dyDescent="0.25">
      <c r="A104" s="20" t="s">
        <v>177</v>
      </c>
      <c r="B104" s="21" t="s">
        <v>176</v>
      </c>
      <c r="C104" s="22">
        <v>1</v>
      </c>
      <c r="D104" s="22">
        <v>9</v>
      </c>
      <c r="E104" s="23">
        <f>5527*C104</f>
        <v>5527</v>
      </c>
      <c r="F104" s="22"/>
      <c r="G104" s="23">
        <f t="shared" si="30"/>
        <v>5527</v>
      </c>
      <c r="H104" s="23"/>
      <c r="I104" s="23">
        <f>G104*0.1</f>
        <v>552.70000000000005</v>
      </c>
      <c r="J104" s="23"/>
      <c r="K104" s="23">
        <f t="shared" si="33"/>
        <v>1658.1</v>
      </c>
      <c r="L104" s="23">
        <f>13500-G104-K104-I104</f>
        <v>5762.2</v>
      </c>
      <c r="M104" s="23"/>
      <c r="N104" s="23"/>
      <c r="O104" s="23"/>
      <c r="P104" s="23"/>
      <c r="Q104" s="23"/>
      <c r="R104" s="23">
        <f>G104+K104+L104+I104</f>
        <v>13500</v>
      </c>
      <c r="S104" s="25">
        <f t="shared" si="34"/>
        <v>162000</v>
      </c>
      <c r="T104" s="53"/>
    </row>
    <row r="105" spans="1:20" x14ac:dyDescent="0.25">
      <c r="A105" s="20" t="s">
        <v>179</v>
      </c>
      <c r="B105" s="21" t="s">
        <v>178</v>
      </c>
      <c r="C105" s="22">
        <v>2</v>
      </c>
      <c r="D105" s="22">
        <v>9</v>
      </c>
      <c r="E105" s="23">
        <f>5527*C105</f>
        <v>11054</v>
      </c>
      <c r="F105" s="22">
        <f>E105*0.15</f>
        <v>1658.1</v>
      </c>
      <c r="G105" s="23">
        <f t="shared" si="30"/>
        <v>12712.1</v>
      </c>
      <c r="H105" s="23"/>
      <c r="I105" s="23"/>
      <c r="J105" s="23"/>
      <c r="K105" s="23">
        <f t="shared" si="33"/>
        <v>3813.63</v>
      </c>
      <c r="L105" s="23">
        <f>13500*C105-G105-K105</f>
        <v>10474.27</v>
      </c>
      <c r="M105" s="23"/>
      <c r="N105" s="23"/>
      <c r="O105" s="23"/>
      <c r="P105" s="23"/>
      <c r="Q105" s="23"/>
      <c r="R105" s="23">
        <f t="shared" ref="R105" si="40">G105+K105+L105</f>
        <v>27000</v>
      </c>
      <c r="S105" s="25">
        <f t="shared" si="34"/>
        <v>324000</v>
      </c>
      <c r="T105" s="53"/>
    </row>
    <row r="106" spans="1:20" s="38" customFormat="1" x14ac:dyDescent="0.25">
      <c r="A106" s="20" t="s">
        <v>181</v>
      </c>
      <c r="B106" s="21" t="s">
        <v>180</v>
      </c>
      <c r="C106" s="22">
        <v>0.5</v>
      </c>
      <c r="D106" s="22">
        <v>4</v>
      </c>
      <c r="E106" s="23">
        <v>2029</v>
      </c>
      <c r="F106" s="22"/>
      <c r="G106" s="23">
        <f>E106+F106</f>
        <v>2029</v>
      </c>
      <c r="H106" s="23"/>
      <c r="I106" s="23"/>
      <c r="J106" s="23"/>
      <c r="K106" s="23"/>
      <c r="L106" s="23"/>
      <c r="M106" s="23"/>
      <c r="N106" s="23"/>
      <c r="O106" s="23"/>
      <c r="P106" s="23">
        <f>8000/2-G106</f>
        <v>1971</v>
      </c>
      <c r="Q106" s="23"/>
      <c r="R106" s="23">
        <f>G106+I106+P106</f>
        <v>4000</v>
      </c>
      <c r="S106" s="25">
        <f t="shared" si="34"/>
        <v>48000</v>
      </c>
      <c r="T106" s="46"/>
    </row>
    <row r="107" spans="1:20" x14ac:dyDescent="0.25">
      <c r="A107" s="20" t="s">
        <v>184</v>
      </c>
      <c r="B107" s="21" t="s">
        <v>130</v>
      </c>
      <c r="C107" s="22">
        <v>4</v>
      </c>
      <c r="D107" s="22">
        <v>3</v>
      </c>
      <c r="E107" s="23">
        <f>3770*C107</f>
        <v>15080</v>
      </c>
      <c r="F107" s="22"/>
      <c r="G107" s="23">
        <f t="shared" si="30"/>
        <v>15080</v>
      </c>
      <c r="H107" s="23"/>
      <c r="I107" s="23">
        <f>G107*0.1</f>
        <v>1508</v>
      </c>
      <c r="J107" s="23"/>
      <c r="K107" s="23"/>
      <c r="L107" s="23"/>
      <c r="M107" s="23"/>
      <c r="N107" s="23"/>
      <c r="O107" s="23"/>
      <c r="P107" s="23">
        <f>8000*C107-G107</f>
        <v>16920</v>
      </c>
      <c r="Q107" s="23"/>
      <c r="R107" s="23">
        <f>G107+I107+P107</f>
        <v>33508</v>
      </c>
      <c r="S107" s="25">
        <f t="shared" si="34"/>
        <v>402096</v>
      </c>
      <c r="T107" s="53"/>
    </row>
    <row r="108" spans="1:20" s="27" customFormat="1" ht="18" customHeight="1" thickBot="1" x14ac:dyDescent="0.3">
      <c r="A108" s="112"/>
      <c r="B108" s="113" t="s">
        <v>55</v>
      </c>
      <c r="C108" s="114">
        <f>SUM(C81:C107)</f>
        <v>32.75</v>
      </c>
      <c r="D108" s="114"/>
      <c r="E108" s="115">
        <f>SUM(E81:E107)</f>
        <v>200393.5</v>
      </c>
      <c r="F108" s="115">
        <f>SUM(F81:F107)</f>
        <v>9147.8000000000011</v>
      </c>
      <c r="G108" s="115">
        <f>SUM(G81:G107)</f>
        <v>209541.30000000002</v>
      </c>
      <c r="H108" s="115"/>
      <c r="I108" s="115">
        <f>SUM(I81:I107)</f>
        <v>2798.7</v>
      </c>
      <c r="J108" s="115"/>
      <c r="K108" s="115">
        <f>SUM(K81:K107)</f>
        <v>57729.689999999995</v>
      </c>
      <c r="L108" s="115">
        <f>SUM(L81:L107)</f>
        <v>235547.31000000003</v>
      </c>
      <c r="M108" s="115"/>
      <c r="N108" s="115"/>
      <c r="O108" s="115"/>
      <c r="P108" s="115">
        <f>SUM(P106:P107)</f>
        <v>18891</v>
      </c>
      <c r="Q108" s="115"/>
      <c r="R108" s="115">
        <f>SUM(R81:R107)</f>
        <v>524508</v>
      </c>
      <c r="S108" s="116">
        <f>SUM(S81:S107)</f>
        <v>6294096</v>
      </c>
      <c r="T108" s="54"/>
    </row>
    <row r="109" spans="1:20" ht="22.2" customHeight="1" x14ac:dyDescent="0.25">
      <c r="A109" s="15"/>
      <c r="B109" s="86" t="s">
        <v>183</v>
      </c>
      <c r="C109" s="85"/>
      <c r="D109" s="85"/>
      <c r="E109" s="94"/>
      <c r="F109" s="85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110"/>
      <c r="T109" s="53"/>
    </row>
    <row r="110" spans="1:20" x14ac:dyDescent="0.25">
      <c r="A110" s="20" t="s">
        <v>186</v>
      </c>
      <c r="B110" s="21" t="s">
        <v>185</v>
      </c>
      <c r="C110" s="22">
        <v>1</v>
      </c>
      <c r="D110" s="22">
        <v>10</v>
      </c>
      <c r="E110" s="23">
        <v>5815</v>
      </c>
      <c r="F110" s="22">
        <f>E110*0.15</f>
        <v>872.25</v>
      </c>
      <c r="G110" s="23">
        <f t="shared" ref="G110:G114" si="41">E110+F110</f>
        <v>6687.25</v>
      </c>
      <c r="H110" s="23"/>
      <c r="I110" s="23">
        <f>G110*0.1</f>
        <v>668.72500000000002</v>
      </c>
      <c r="J110" s="23"/>
      <c r="K110" s="23">
        <f>G110*0.3</f>
        <v>2006.175</v>
      </c>
      <c r="L110" s="23">
        <f>20000-G110-I110-K110</f>
        <v>10637.85</v>
      </c>
      <c r="M110" s="23"/>
      <c r="N110" s="23"/>
      <c r="O110" s="23"/>
      <c r="P110" s="23"/>
      <c r="Q110" s="23"/>
      <c r="R110" s="23">
        <f>G110+I110+K110+L110</f>
        <v>20000</v>
      </c>
      <c r="S110" s="25">
        <f>R110*12</f>
        <v>240000</v>
      </c>
      <c r="T110" s="53"/>
    </row>
    <row r="111" spans="1:20" x14ac:dyDescent="0.25">
      <c r="A111" s="20" t="s">
        <v>188</v>
      </c>
      <c r="B111" s="21" t="s">
        <v>187</v>
      </c>
      <c r="C111" s="22">
        <v>1</v>
      </c>
      <c r="D111" s="22">
        <v>9</v>
      </c>
      <c r="E111" s="23">
        <v>5527</v>
      </c>
      <c r="F111" s="22">
        <f>E111*0.15</f>
        <v>829.05</v>
      </c>
      <c r="G111" s="23">
        <f t="shared" si="41"/>
        <v>6356.05</v>
      </c>
      <c r="H111" s="23"/>
      <c r="I111" s="23"/>
      <c r="J111" s="23"/>
      <c r="K111" s="23">
        <f t="shared" ref="K111:K112" si="42">G111*0.3</f>
        <v>1906.8150000000001</v>
      </c>
      <c r="L111" s="23">
        <f>20000-G111-K111</f>
        <v>11737.135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 t="shared" ref="S111:S113" si="43">R111*12</f>
        <v>240000</v>
      </c>
      <c r="T111" s="53"/>
    </row>
    <row r="112" spans="1:20" x14ac:dyDescent="0.25">
      <c r="A112" s="20" t="s">
        <v>190</v>
      </c>
      <c r="B112" s="21" t="s">
        <v>189</v>
      </c>
      <c r="C112" s="22">
        <v>2.5</v>
      </c>
      <c r="D112" s="22">
        <v>10</v>
      </c>
      <c r="E112" s="23">
        <f>5815*C112</f>
        <v>14537.5</v>
      </c>
      <c r="F112" s="22">
        <f>E112*0.15</f>
        <v>2180.625</v>
      </c>
      <c r="G112" s="23">
        <f t="shared" si="41"/>
        <v>16718.125</v>
      </c>
      <c r="H112" s="23"/>
      <c r="I112" s="23">
        <f>G112*0.1</f>
        <v>1671.8125</v>
      </c>
      <c r="J112" s="23"/>
      <c r="K112" s="23">
        <f t="shared" si="42"/>
        <v>5015.4375</v>
      </c>
      <c r="L112" s="23">
        <f>13500*C112-G112-I112-K112</f>
        <v>10344.625</v>
      </c>
      <c r="M112" s="23"/>
      <c r="N112" s="23"/>
      <c r="O112" s="23"/>
      <c r="P112" s="23"/>
      <c r="Q112" s="23"/>
      <c r="R112" s="23">
        <f>G112+I112+K112+L112</f>
        <v>33750</v>
      </c>
      <c r="S112" s="25">
        <f t="shared" si="43"/>
        <v>405000</v>
      </c>
      <c r="T112" s="53"/>
    </row>
    <row r="113" spans="1:20" s="38" customFormat="1" x14ac:dyDescent="0.25">
      <c r="A113" s="20" t="s">
        <v>193</v>
      </c>
      <c r="B113" s="21" t="s">
        <v>182</v>
      </c>
      <c r="C113" s="22">
        <v>1</v>
      </c>
      <c r="D113" s="22">
        <v>3</v>
      </c>
      <c r="E113" s="23">
        <f>3770*C113</f>
        <v>3770</v>
      </c>
      <c r="F113" s="22">
        <f>E113*0.15</f>
        <v>565.5</v>
      </c>
      <c r="G113" s="23">
        <f t="shared" si="41"/>
        <v>4335.5</v>
      </c>
      <c r="H113" s="23"/>
      <c r="I113" s="23">
        <f>G113*0.1</f>
        <v>433.55</v>
      </c>
      <c r="J113" s="23"/>
      <c r="K113" s="23" t="s">
        <v>191</v>
      </c>
      <c r="L113" s="23"/>
      <c r="M113" s="23"/>
      <c r="N113" s="23"/>
      <c r="O113" s="23"/>
      <c r="P113" s="23">
        <f>8000*C113-E113</f>
        <v>4230</v>
      </c>
      <c r="Q113" s="23"/>
      <c r="R113" s="23">
        <f>G113+I113+P113</f>
        <v>8999.0499999999993</v>
      </c>
      <c r="S113" s="25">
        <f t="shared" si="43"/>
        <v>107988.59999999999</v>
      </c>
      <c r="T113" s="46"/>
    </row>
    <row r="114" spans="1:20" s="27" customFormat="1" ht="21.6" customHeight="1" thickBot="1" x14ac:dyDescent="0.3">
      <c r="A114" s="64"/>
      <c r="B114" s="47" t="s">
        <v>55</v>
      </c>
      <c r="C114" s="34">
        <f>C110+C111+C112+C113</f>
        <v>5.5</v>
      </c>
      <c r="D114" s="34"/>
      <c r="E114" s="35">
        <f>SUM(E110:E113)</f>
        <v>29649.5</v>
      </c>
      <c r="F114" s="34">
        <f>SUM(F110:F113)</f>
        <v>4447.4250000000002</v>
      </c>
      <c r="G114" s="35">
        <f t="shared" si="41"/>
        <v>34096.925000000003</v>
      </c>
      <c r="H114" s="35"/>
      <c r="I114" s="35">
        <f>SUM(I110:I113)</f>
        <v>2774.0875000000001</v>
      </c>
      <c r="J114" s="35"/>
      <c r="K114" s="35">
        <f>SUM(K110:K113)</f>
        <v>8928.4274999999998</v>
      </c>
      <c r="L114" s="35">
        <f>SUM(L110:L113)</f>
        <v>32719.61</v>
      </c>
      <c r="M114" s="35"/>
      <c r="N114" s="35"/>
      <c r="O114" s="35"/>
      <c r="P114" s="35">
        <f>SUM(P110:P113)</f>
        <v>4230</v>
      </c>
      <c r="Q114" s="35"/>
      <c r="R114" s="35">
        <f>SUM(R110:R113)</f>
        <v>82749.05</v>
      </c>
      <c r="S114" s="36">
        <f>SUM(S110:S113)</f>
        <v>992988.6</v>
      </c>
      <c r="T114" s="54"/>
    </row>
    <row r="115" spans="1:20" ht="23.4" customHeight="1" x14ac:dyDescent="0.25">
      <c r="A115" s="18"/>
      <c r="B115" s="86" t="s">
        <v>192</v>
      </c>
      <c r="C115" s="86"/>
      <c r="D115" s="86"/>
      <c r="E115" s="92"/>
      <c r="F115" s="86"/>
      <c r="G115" s="94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3"/>
      <c r="T115" s="53"/>
    </row>
    <row r="116" spans="1:20" ht="14.4" customHeight="1" x14ac:dyDescent="0.25">
      <c r="A116" s="20" t="s">
        <v>194</v>
      </c>
      <c r="B116" s="21" t="s">
        <v>106</v>
      </c>
      <c r="C116" s="22">
        <v>0.25</v>
      </c>
      <c r="D116" s="22">
        <v>10</v>
      </c>
      <c r="E116" s="23">
        <f>5815*C116</f>
        <v>1453.75</v>
      </c>
      <c r="F116" s="22">
        <f t="shared" ref="F116:F119" si="44">E116*0.15</f>
        <v>218.0625</v>
      </c>
      <c r="G116" s="23">
        <f t="shared" si="20"/>
        <v>1671.8125</v>
      </c>
      <c r="H116" s="23"/>
      <c r="I116" s="23"/>
      <c r="J116" s="23"/>
      <c r="K116" s="23">
        <f>G116*0.3</f>
        <v>501.54374999999999</v>
      </c>
      <c r="L116" s="23">
        <f>20000*C116-G116-K116</f>
        <v>2826.6437500000002</v>
      </c>
      <c r="M116" s="23"/>
      <c r="N116" s="23"/>
      <c r="O116" s="23"/>
      <c r="P116" s="23"/>
      <c r="Q116" s="23"/>
      <c r="R116" s="23">
        <f t="shared" ref="R116:R117" si="45">G116+K116+L116</f>
        <v>5000</v>
      </c>
      <c r="S116" s="25">
        <f>R116*12</f>
        <v>60000</v>
      </c>
      <c r="T116" s="53"/>
    </row>
    <row r="117" spans="1:20" x14ac:dyDescent="0.25">
      <c r="A117" s="20" t="s">
        <v>195</v>
      </c>
      <c r="B117" s="21" t="s">
        <v>100</v>
      </c>
      <c r="C117" s="22">
        <v>0.25</v>
      </c>
      <c r="D117" s="22">
        <v>10</v>
      </c>
      <c r="E117" s="23">
        <f>5815*C117</f>
        <v>1453.75</v>
      </c>
      <c r="F117" s="22">
        <f t="shared" si="44"/>
        <v>218.0625</v>
      </c>
      <c r="G117" s="23">
        <f t="shared" si="20"/>
        <v>1671.8125</v>
      </c>
      <c r="H117" s="23"/>
      <c r="I117" s="23"/>
      <c r="J117" s="23"/>
      <c r="K117" s="23">
        <f t="shared" ref="K117:K118" si="46"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si="45"/>
        <v>5000</v>
      </c>
      <c r="S117" s="25">
        <f t="shared" ref="S117:S119" si="47">R117*12</f>
        <v>60000</v>
      </c>
      <c r="T117" s="53"/>
    </row>
    <row r="118" spans="1:20" x14ac:dyDescent="0.25">
      <c r="A118" s="20" t="s">
        <v>196</v>
      </c>
      <c r="B118" s="21" t="s">
        <v>126</v>
      </c>
      <c r="C118" s="22">
        <v>4.5</v>
      </c>
      <c r="D118" s="22">
        <v>9</v>
      </c>
      <c r="E118" s="23">
        <f>5527*C118</f>
        <v>24871.5</v>
      </c>
      <c r="F118" s="22">
        <f t="shared" si="44"/>
        <v>3730.7249999999999</v>
      </c>
      <c r="G118" s="23">
        <f t="shared" si="20"/>
        <v>28602.224999999999</v>
      </c>
      <c r="H118" s="23"/>
      <c r="I118" s="23">
        <f t="shared" ref="I118:I119" si="48">G118*0.1</f>
        <v>2860.2224999999999</v>
      </c>
      <c r="J118" s="23"/>
      <c r="K118" s="23">
        <f t="shared" si="46"/>
        <v>8580.6674999999996</v>
      </c>
      <c r="L118" s="23">
        <f>13500*C118-G118-K118-I118-N118</f>
        <v>17793.585000000003</v>
      </c>
      <c r="M118" s="23"/>
      <c r="N118" s="23">
        <f>647.4*C118</f>
        <v>2913.2999999999997</v>
      </c>
      <c r="O118" s="23"/>
      <c r="P118" s="23"/>
      <c r="Q118" s="23"/>
      <c r="R118" s="23">
        <f>G118+K118+L118+I118+N118</f>
        <v>60750.000000000015</v>
      </c>
      <c r="S118" s="25">
        <f t="shared" si="47"/>
        <v>729000.00000000023</v>
      </c>
      <c r="T118" s="53"/>
    </row>
    <row r="119" spans="1:20" s="13" customFormat="1" x14ac:dyDescent="0.2">
      <c r="A119" s="28" t="s">
        <v>198</v>
      </c>
      <c r="B119" s="21" t="s">
        <v>130</v>
      </c>
      <c r="C119" s="22">
        <v>3.5</v>
      </c>
      <c r="D119" s="22">
        <v>4</v>
      </c>
      <c r="E119" s="23">
        <f>4058*C119</f>
        <v>14203</v>
      </c>
      <c r="F119" s="22">
        <f t="shared" si="44"/>
        <v>2130.4499999999998</v>
      </c>
      <c r="G119" s="23">
        <f t="shared" si="20"/>
        <v>16333.45</v>
      </c>
      <c r="H119" s="23"/>
      <c r="I119" s="23">
        <f t="shared" si="48"/>
        <v>1633.3450000000003</v>
      </c>
      <c r="J119" s="23"/>
      <c r="K119" s="23"/>
      <c r="L119" s="23"/>
      <c r="M119" s="23"/>
      <c r="N119" s="23">
        <f>475.33*C119</f>
        <v>1663.655</v>
      </c>
      <c r="O119" s="23"/>
      <c r="P119" s="23">
        <f>8000*C119-E119</f>
        <v>13797</v>
      </c>
      <c r="Q119" s="23"/>
      <c r="R119" s="23">
        <f>G119+I119+P119+N119</f>
        <v>33427.450000000004</v>
      </c>
      <c r="S119" s="25">
        <f t="shared" si="47"/>
        <v>401129.4</v>
      </c>
      <c r="T119" s="52"/>
    </row>
    <row r="120" spans="1:20" s="27" customFormat="1" ht="21.6" customHeight="1" thickBot="1" x14ac:dyDescent="0.3">
      <c r="A120" s="64"/>
      <c r="B120" s="117" t="s">
        <v>55</v>
      </c>
      <c r="C120" s="34">
        <f>SUM(C116:C119)</f>
        <v>8.5</v>
      </c>
      <c r="D120" s="34"/>
      <c r="E120" s="35">
        <f>SUM(E116:E119)</f>
        <v>41982</v>
      </c>
      <c r="F120" s="34">
        <f>SUM(F116:F119)</f>
        <v>6297.3</v>
      </c>
      <c r="G120" s="35">
        <f>SUM(G116:G119)</f>
        <v>48279.3</v>
      </c>
      <c r="H120" s="35"/>
      <c r="I120" s="35">
        <f>SUM(I116:I119)</f>
        <v>4493.5675000000001</v>
      </c>
      <c r="J120" s="35"/>
      <c r="K120" s="35">
        <f>SUM(K116:K119)</f>
        <v>9583.7549999999992</v>
      </c>
      <c r="L120" s="35">
        <f>SUM(L116:L119)</f>
        <v>23446.872500000005</v>
      </c>
      <c r="M120" s="35"/>
      <c r="N120" s="35">
        <f>SUM(N116:N119)</f>
        <v>4576.9549999999999</v>
      </c>
      <c r="O120" s="35"/>
      <c r="P120" s="35">
        <f>SUM(P116:P119)</f>
        <v>13797</v>
      </c>
      <c r="Q120" s="35"/>
      <c r="R120" s="35">
        <f>SUM(R116:R119)</f>
        <v>104177.45000000001</v>
      </c>
      <c r="S120" s="36">
        <f>SUM(S116:S119)</f>
        <v>1250129.4000000004</v>
      </c>
      <c r="T120" s="54"/>
    </row>
    <row r="121" spans="1:20" s="56" customFormat="1" ht="19.2" customHeight="1" x14ac:dyDescent="0.25">
      <c r="A121" s="15"/>
      <c r="B121" s="86" t="s">
        <v>197</v>
      </c>
      <c r="C121" s="85"/>
      <c r="D121" s="85"/>
      <c r="E121" s="94"/>
      <c r="F121" s="85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110"/>
      <c r="T121" s="58"/>
    </row>
    <row r="122" spans="1:20" s="13" customFormat="1" x14ac:dyDescent="0.25">
      <c r="A122" s="20" t="s">
        <v>199</v>
      </c>
      <c r="B122" s="59" t="s">
        <v>96</v>
      </c>
      <c r="C122" s="22">
        <v>1</v>
      </c>
      <c r="D122" s="22">
        <v>13</v>
      </c>
      <c r="E122" s="23">
        <v>7253</v>
      </c>
      <c r="F122" s="22">
        <f>E122*0.2</f>
        <v>1450.6000000000001</v>
      </c>
      <c r="G122" s="23">
        <f t="shared" ref="G122:G123" si="49">E122+F122</f>
        <v>8703.6</v>
      </c>
      <c r="H122" s="23"/>
      <c r="I122" s="23"/>
      <c r="J122" s="23"/>
      <c r="K122" s="23">
        <f t="shared" ref="K122:K123" si="50">G122*0.3</f>
        <v>2611.08</v>
      </c>
      <c r="L122" s="23">
        <f t="shared" ref="L122" si="51">20000-G122-K122</f>
        <v>8685.32</v>
      </c>
      <c r="M122" s="23"/>
      <c r="N122" s="23"/>
      <c r="O122" s="23"/>
      <c r="P122" s="23"/>
      <c r="Q122" s="23"/>
      <c r="R122" s="23">
        <f>G122+K122+L122+O122</f>
        <v>20000</v>
      </c>
      <c r="S122" s="25">
        <f>R122*12</f>
        <v>240000</v>
      </c>
      <c r="T122" s="52"/>
    </row>
    <row r="123" spans="1:20" s="38" customFormat="1" x14ac:dyDescent="0.25">
      <c r="A123" s="57" t="s">
        <v>201</v>
      </c>
      <c r="B123" s="21" t="s">
        <v>124</v>
      </c>
      <c r="C123" s="22">
        <v>1</v>
      </c>
      <c r="D123" s="22">
        <v>10</v>
      </c>
      <c r="E123" s="23">
        <v>5815</v>
      </c>
      <c r="F123" s="22">
        <f>E123*0.1</f>
        <v>581.5</v>
      </c>
      <c r="G123" s="23">
        <f t="shared" si="49"/>
        <v>6396.5</v>
      </c>
      <c r="H123" s="23"/>
      <c r="I123" s="23"/>
      <c r="J123" s="23"/>
      <c r="K123" s="23">
        <f t="shared" si="50"/>
        <v>1918.9499999999998</v>
      </c>
      <c r="L123" s="23">
        <f>13500-G123-K123</f>
        <v>5184.55</v>
      </c>
      <c r="M123" s="23"/>
      <c r="N123" s="23"/>
      <c r="O123" s="23"/>
      <c r="P123" s="23"/>
      <c r="Q123" s="23"/>
      <c r="R123" s="23">
        <f>G123+K123+L123</f>
        <v>13500</v>
      </c>
      <c r="S123" s="25">
        <f>R123*12</f>
        <v>162000</v>
      </c>
      <c r="T123" s="46"/>
    </row>
    <row r="124" spans="1:20" x14ac:dyDescent="0.25">
      <c r="A124" s="28"/>
      <c r="B124" s="50"/>
      <c r="C124" s="60"/>
      <c r="D124" s="60"/>
      <c r="E124" s="61"/>
      <c r="F124" s="60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2"/>
      <c r="T124" s="53"/>
    </row>
    <row r="125" spans="1:20" ht="21" customHeight="1" x14ac:dyDescent="0.25">
      <c r="A125" s="20"/>
      <c r="B125" s="63" t="s">
        <v>200</v>
      </c>
      <c r="C125" s="29"/>
      <c r="D125" s="29"/>
      <c r="E125" s="30"/>
      <c r="F125" s="29"/>
      <c r="G125" s="23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1"/>
      <c r="T125" s="53"/>
    </row>
    <row r="126" spans="1:20" ht="11.4" customHeight="1" x14ac:dyDescent="0.25">
      <c r="A126" s="20" t="s">
        <v>203</v>
      </c>
      <c r="B126" s="21" t="s">
        <v>202</v>
      </c>
      <c r="C126" s="22">
        <v>5</v>
      </c>
      <c r="D126" s="22">
        <v>14</v>
      </c>
      <c r="E126" s="23">
        <f>7732*C126</f>
        <v>38660</v>
      </c>
      <c r="F126" s="22"/>
      <c r="G126" s="23">
        <f t="shared" ref="G126:G132" si="52">E126+F126</f>
        <v>38660</v>
      </c>
      <c r="H126" s="23"/>
      <c r="I126" s="23"/>
      <c r="J126" s="23"/>
      <c r="K126" s="23">
        <f t="shared" ref="K126" si="53">G126*0.3</f>
        <v>11598</v>
      </c>
      <c r="L126" s="23">
        <f>20000*C126-G126-K126</f>
        <v>49742</v>
      </c>
      <c r="M126" s="23"/>
      <c r="N126" s="23"/>
      <c r="O126" s="23"/>
      <c r="P126" s="23"/>
      <c r="Q126" s="23"/>
      <c r="R126" s="23">
        <f>G126+K126+L126+O126</f>
        <v>100000</v>
      </c>
      <c r="S126" s="25">
        <f>R126*12</f>
        <v>1200000</v>
      </c>
    </row>
    <row r="127" spans="1:20" x14ac:dyDescent="0.25">
      <c r="A127" s="20" t="s">
        <v>205</v>
      </c>
      <c r="B127" s="21" t="s">
        <v>204</v>
      </c>
      <c r="C127" s="22">
        <v>1</v>
      </c>
      <c r="D127" s="22">
        <v>13</v>
      </c>
      <c r="E127" s="23">
        <v>7523</v>
      </c>
      <c r="F127" s="22"/>
      <c r="G127" s="23">
        <f t="shared" si="52"/>
        <v>7523</v>
      </c>
      <c r="H127" s="23"/>
      <c r="I127" s="23"/>
      <c r="J127" s="23"/>
      <c r="K127" s="23">
        <f>G127*0.3</f>
        <v>2256.9</v>
      </c>
      <c r="L127" s="23">
        <f>20000-G127-K127</f>
        <v>10220.1</v>
      </c>
      <c r="M127" s="23"/>
      <c r="N127" s="23"/>
      <c r="O127" s="23"/>
      <c r="P127" s="23"/>
      <c r="Q127" s="23"/>
      <c r="R127" s="23">
        <f>G127+K127+L127+O127</f>
        <v>20000</v>
      </c>
      <c r="S127" s="25">
        <f t="shared" ref="S127:S132" si="54">R127*12</f>
        <v>240000</v>
      </c>
    </row>
    <row r="128" spans="1:20" s="13" customFormat="1" x14ac:dyDescent="0.25">
      <c r="A128" s="20" t="s">
        <v>206</v>
      </c>
      <c r="B128" s="21" t="s">
        <v>108</v>
      </c>
      <c r="C128" s="22">
        <v>1</v>
      </c>
      <c r="D128" s="22">
        <v>12</v>
      </c>
      <c r="E128" s="23">
        <v>6773</v>
      </c>
      <c r="F128" s="22"/>
      <c r="G128" s="23">
        <f t="shared" si="52"/>
        <v>6773</v>
      </c>
      <c r="H128" s="23"/>
      <c r="I128" s="23"/>
      <c r="J128" s="23"/>
      <c r="K128" s="23">
        <f t="shared" ref="K128:K130" si="55">G128*0.3</f>
        <v>2031.8999999999999</v>
      </c>
      <c r="L128" s="23">
        <f t="shared" ref="L128" si="56">20000-G128-K128</f>
        <v>11195.1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si="54"/>
        <v>240000</v>
      </c>
    </row>
    <row r="129" spans="1:20" x14ac:dyDescent="0.25">
      <c r="A129" s="20" t="s">
        <v>209</v>
      </c>
      <c r="B129" s="21" t="s">
        <v>207</v>
      </c>
      <c r="C129" s="22">
        <v>5</v>
      </c>
      <c r="D129" s="22">
        <v>10</v>
      </c>
      <c r="E129" s="23">
        <f>5815*C129</f>
        <v>29075</v>
      </c>
      <c r="F129" s="22"/>
      <c r="G129" s="23">
        <f t="shared" si="52"/>
        <v>29075</v>
      </c>
      <c r="H129" s="23"/>
      <c r="I129" s="23">
        <f>G129*0.1</f>
        <v>2907.5</v>
      </c>
      <c r="J129" s="23"/>
      <c r="K129" s="23">
        <f t="shared" si="55"/>
        <v>8722.5</v>
      </c>
      <c r="L129" s="23">
        <f>13500*C129-G129-I129-K129</f>
        <v>26795</v>
      </c>
      <c r="M129" s="23"/>
      <c r="N129" s="23"/>
      <c r="O129" s="23"/>
      <c r="P129" s="23"/>
      <c r="Q129" s="23"/>
      <c r="R129" s="23">
        <f>G129+I129+K129+L129</f>
        <v>67500</v>
      </c>
      <c r="S129" s="25">
        <f t="shared" si="54"/>
        <v>810000</v>
      </c>
      <c r="T129" s="53"/>
    </row>
    <row r="130" spans="1:20" s="13" customFormat="1" x14ac:dyDescent="0.25">
      <c r="A130" s="20" t="s">
        <v>210</v>
      </c>
      <c r="B130" s="21" t="s">
        <v>87</v>
      </c>
      <c r="C130" s="22">
        <v>1</v>
      </c>
      <c r="D130" s="22">
        <v>10</v>
      </c>
      <c r="E130" s="23">
        <v>5815</v>
      </c>
      <c r="F130" s="22"/>
      <c r="G130" s="23">
        <f t="shared" si="52"/>
        <v>5815</v>
      </c>
      <c r="H130" s="23"/>
      <c r="I130" s="23"/>
      <c r="J130" s="23"/>
      <c r="K130" s="23">
        <f t="shared" si="55"/>
        <v>1744.5</v>
      </c>
      <c r="L130" s="23">
        <f t="shared" ref="L130:L131" si="57">13500-G130-K130</f>
        <v>5940.5</v>
      </c>
      <c r="M130" s="23"/>
      <c r="N130" s="23"/>
      <c r="O130" s="23"/>
      <c r="P130" s="23"/>
      <c r="Q130" s="23"/>
      <c r="R130" s="23">
        <f t="shared" ref="R130:R131" si="58">G130+K130+L130</f>
        <v>13500</v>
      </c>
      <c r="S130" s="25">
        <f t="shared" si="54"/>
        <v>162000</v>
      </c>
    </row>
    <row r="131" spans="1:20" x14ac:dyDescent="0.25">
      <c r="A131" s="20" t="s">
        <v>212</v>
      </c>
      <c r="B131" s="21" t="s">
        <v>211</v>
      </c>
      <c r="C131" s="22">
        <v>1</v>
      </c>
      <c r="D131" s="22">
        <v>10</v>
      </c>
      <c r="E131" s="23">
        <v>5815</v>
      </c>
      <c r="F131" s="22"/>
      <c r="G131" s="23">
        <f t="shared" si="52"/>
        <v>5815</v>
      </c>
      <c r="H131" s="23"/>
      <c r="I131" s="23"/>
      <c r="J131" s="23"/>
      <c r="K131" s="23">
        <f>G131*0.3</f>
        <v>1744.5</v>
      </c>
      <c r="L131" s="23">
        <f t="shared" si="57"/>
        <v>5940.5</v>
      </c>
      <c r="M131" s="23"/>
      <c r="N131" s="23"/>
      <c r="O131" s="23"/>
      <c r="P131" s="23"/>
      <c r="Q131" s="23"/>
      <c r="R131" s="23">
        <f t="shared" si="58"/>
        <v>13500</v>
      </c>
      <c r="S131" s="25">
        <f t="shared" si="54"/>
        <v>162000</v>
      </c>
    </row>
    <row r="132" spans="1:20" x14ac:dyDescent="0.25">
      <c r="A132" s="20" t="s">
        <v>214</v>
      </c>
      <c r="B132" s="21" t="s">
        <v>130</v>
      </c>
      <c r="C132" s="22">
        <v>2</v>
      </c>
      <c r="D132" s="22">
        <v>3</v>
      </c>
      <c r="E132" s="23">
        <f>3770*C132</f>
        <v>7540</v>
      </c>
      <c r="F132" s="22"/>
      <c r="G132" s="23">
        <f t="shared" si="52"/>
        <v>7540</v>
      </c>
      <c r="H132" s="23"/>
      <c r="I132" s="23">
        <f>G132*0.1</f>
        <v>754</v>
      </c>
      <c r="J132" s="23"/>
      <c r="K132" s="23"/>
      <c r="L132" s="23"/>
      <c r="M132" s="23"/>
      <c r="N132" s="23"/>
      <c r="O132" s="23"/>
      <c r="P132" s="23">
        <f>8000*C132-G132</f>
        <v>8460</v>
      </c>
      <c r="Q132" s="23"/>
      <c r="R132" s="23">
        <f>SUM(G132:Q132)</f>
        <v>16754</v>
      </c>
      <c r="S132" s="25">
        <f t="shared" si="54"/>
        <v>201048</v>
      </c>
    </row>
    <row r="133" spans="1:20" s="27" customFormat="1" ht="20.399999999999999" customHeight="1" thickBot="1" x14ac:dyDescent="0.3">
      <c r="A133" s="64"/>
      <c r="B133" s="47" t="s">
        <v>55</v>
      </c>
      <c r="C133" s="34">
        <f>SUM(C122:C132)</f>
        <v>18</v>
      </c>
      <c r="D133" s="34"/>
      <c r="E133" s="35">
        <f>SUM(E122:E132)</f>
        <v>114269</v>
      </c>
      <c r="F133" s="34">
        <f>SUM(F122:F132)</f>
        <v>2032.1000000000001</v>
      </c>
      <c r="G133" s="35">
        <f>SUM(G122:G132)</f>
        <v>116301.1</v>
      </c>
      <c r="H133" s="35"/>
      <c r="I133" s="35">
        <f>SUM(I122:I132)</f>
        <v>3661.5</v>
      </c>
      <c r="J133" s="35"/>
      <c r="K133" s="35">
        <f>SUM(K122:K132)</f>
        <v>32628.33</v>
      </c>
      <c r="L133" s="35">
        <f>SUM(L122:L132)</f>
        <v>123703.07</v>
      </c>
      <c r="M133" s="35">
        <f>SUM(M132:M132)</f>
        <v>0</v>
      </c>
      <c r="N133" s="35"/>
      <c r="O133" s="35">
        <f>SUM(O127:O132)</f>
        <v>0</v>
      </c>
      <c r="P133" s="35">
        <f>SUM(P132:P132)</f>
        <v>8460</v>
      </c>
      <c r="Q133" s="35"/>
      <c r="R133" s="35">
        <f>SUM(R122:R132)</f>
        <v>284754</v>
      </c>
      <c r="S133" s="36">
        <f>SUM(S122:S132)</f>
        <v>3417048</v>
      </c>
    </row>
    <row r="134" spans="1:20" ht="22.8" x14ac:dyDescent="0.25">
      <c r="A134" s="15"/>
      <c r="B134" s="55" t="s">
        <v>213</v>
      </c>
      <c r="C134" s="85"/>
      <c r="D134" s="85"/>
      <c r="E134" s="94"/>
      <c r="F134" s="85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110"/>
    </row>
    <row r="135" spans="1:20" x14ac:dyDescent="0.25">
      <c r="A135" s="20" t="s">
        <v>217</v>
      </c>
      <c r="B135" s="21" t="s">
        <v>215</v>
      </c>
      <c r="C135" s="22">
        <v>6</v>
      </c>
      <c r="D135" s="22">
        <v>10</v>
      </c>
      <c r="E135" s="23">
        <f>5815*C135</f>
        <v>34890</v>
      </c>
      <c r="F135" s="22"/>
      <c r="G135" s="23">
        <f t="shared" ref="G135:G136" si="59">E135+F135</f>
        <v>34890</v>
      </c>
      <c r="H135" s="23"/>
      <c r="I135" s="23"/>
      <c r="J135" s="23"/>
      <c r="K135" s="23">
        <f t="shared" ref="K135" si="60">G135*0.3</f>
        <v>10467</v>
      </c>
      <c r="L135" s="23">
        <f>13500*C135-G135-K135-N135</f>
        <v>31556.22</v>
      </c>
      <c r="M135" s="23"/>
      <c r="N135" s="23">
        <f>681.13*C135</f>
        <v>4086.7799999999997</v>
      </c>
      <c r="O135" s="23"/>
      <c r="P135" s="23"/>
      <c r="Q135" s="23"/>
      <c r="R135" s="23">
        <f t="shared" ref="R135" si="61">G135+K135+L135+N135</f>
        <v>81000</v>
      </c>
      <c r="S135" s="25">
        <f t="shared" ref="S135:S136" si="62">R135*12</f>
        <v>972000</v>
      </c>
    </row>
    <row r="136" spans="1:20" x14ac:dyDescent="0.25">
      <c r="A136" s="20" t="s">
        <v>219</v>
      </c>
      <c r="B136" s="21" t="s">
        <v>74</v>
      </c>
      <c r="C136" s="22">
        <v>5</v>
      </c>
      <c r="D136" s="22">
        <v>4</v>
      </c>
      <c r="E136" s="23">
        <f>4058*C136</f>
        <v>20290</v>
      </c>
      <c r="F136" s="22"/>
      <c r="G136" s="23">
        <f t="shared" si="59"/>
        <v>20290</v>
      </c>
      <c r="H136" s="23"/>
      <c r="I136" s="23"/>
      <c r="J136" s="23"/>
      <c r="K136" s="23"/>
      <c r="L136" s="23"/>
      <c r="M136" s="23"/>
      <c r="N136" s="23">
        <f>475.33*C136</f>
        <v>2376.65</v>
      </c>
      <c r="O136" s="23"/>
      <c r="P136" s="23">
        <f>8000*C136-G136</f>
        <v>19710</v>
      </c>
      <c r="Q136" s="23"/>
      <c r="R136" s="23">
        <f>E136+P136+N136</f>
        <v>42376.65</v>
      </c>
      <c r="S136" s="25">
        <f t="shared" si="62"/>
        <v>508519.80000000005</v>
      </c>
    </row>
    <row r="137" spans="1:20" s="27" customFormat="1" ht="22.2" customHeight="1" thickBot="1" x14ac:dyDescent="0.3">
      <c r="A137" s="64"/>
      <c r="B137" s="47" t="s">
        <v>55</v>
      </c>
      <c r="C137" s="34">
        <f>SUM(C135:C136)</f>
        <v>11</v>
      </c>
      <c r="D137" s="34"/>
      <c r="E137" s="35">
        <f>SUM(E135:E136)</f>
        <v>55180</v>
      </c>
      <c r="F137" s="34"/>
      <c r="G137" s="35">
        <f>SUM(G135:G136)</f>
        <v>55180</v>
      </c>
      <c r="H137" s="35"/>
      <c r="I137" s="35"/>
      <c r="J137" s="35"/>
      <c r="K137" s="35">
        <f>SUM(K135:K136)</f>
        <v>10467</v>
      </c>
      <c r="L137" s="35">
        <f>SUM(L135:L136)</f>
        <v>31556.22</v>
      </c>
      <c r="M137" s="35"/>
      <c r="N137" s="35">
        <f>SUM(N135:N136)</f>
        <v>6463.43</v>
      </c>
      <c r="O137" s="35"/>
      <c r="P137" s="35">
        <f>SUM(P135:P136)</f>
        <v>19710</v>
      </c>
      <c r="Q137" s="35"/>
      <c r="R137" s="35">
        <f>SUM(R135:R136)</f>
        <v>123376.65</v>
      </c>
      <c r="S137" s="36">
        <f>SUM(S135:S136)</f>
        <v>1480519.8</v>
      </c>
    </row>
    <row r="138" spans="1:20" ht="29.4" customHeight="1" x14ac:dyDescent="0.25">
      <c r="A138" s="15"/>
      <c r="B138" s="55" t="s">
        <v>218</v>
      </c>
      <c r="C138" s="85"/>
      <c r="D138" s="85"/>
      <c r="E138" s="94"/>
      <c r="F138" s="85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110"/>
    </row>
    <row r="139" spans="1:20" x14ac:dyDescent="0.25">
      <c r="A139" s="20" t="s">
        <v>220</v>
      </c>
      <c r="B139" s="21" t="s">
        <v>202</v>
      </c>
      <c r="C139" s="22">
        <v>0.75</v>
      </c>
      <c r="D139" s="22">
        <v>12</v>
      </c>
      <c r="E139" s="23">
        <f>6773*C139</f>
        <v>5079.75</v>
      </c>
      <c r="F139" s="22">
        <f>E139*0.1</f>
        <v>507.97500000000002</v>
      </c>
      <c r="G139" s="23">
        <f t="shared" ref="G139:G144" si="63">E139+F139</f>
        <v>5587.7250000000004</v>
      </c>
      <c r="H139" s="23"/>
      <c r="I139" s="23"/>
      <c r="J139" s="23"/>
      <c r="K139" s="23">
        <f>G139*0.3</f>
        <v>1676.3175000000001</v>
      </c>
      <c r="L139" s="23">
        <f>20000*C139-G139-K139</f>
        <v>7735.9574999999995</v>
      </c>
      <c r="M139" s="23"/>
      <c r="N139" s="23"/>
      <c r="O139" s="23"/>
      <c r="P139" s="23"/>
      <c r="Q139" s="23"/>
      <c r="R139" s="23">
        <f>G139+K139+L139</f>
        <v>15000</v>
      </c>
      <c r="S139" s="25">
        <f>R139*12</f>
        <v>180000</v>
      </c>
    </row>
    <row r="140" spans="1:20" x14ac:dyDescent="0.25">
      <c r="A140" s="20" t="s">
        <v>221</v>
      </c>
      <c r="B140" s="21" t="s">
        <v>87</v>
      </c>
      <c r="C140" s="22">
        <v>1</v>
      </c>
      <c r="D140" s="22">
        <v>7</v>
      </c>
      <c r="E140" s="23">
        <v>4920</v>
      </c>
      <c r="F140" s="22"/>
      <c r="G140" s="23">
        <f t="shared" si="63"/>
        <v>4920</v>
      </c>
      <c r="H140" s="23"/>
      <c r="I140" s="23"/>
      <c r="J140" s="23"/>
      <c r="K140" s="23">
        <f>G140*0.3</f>
        <v>1476</v>
      </c>
      <c r="L140" s="23">
        <f>13500-G140-K140</f>
        <v>7104</v>
      </c>
      <c r="M140" s="23"/>
      <c r="N140" s="23"/>
      <c r="O140" s="23"/>
      <c r="P140" s="23"/>
      <c r="Q140" s="23"/>
      <c r="R140" s="23">
        <f>G140+K140+L140</f>
        <v>13500</v>
      </c>
      <c r="S140" s="25">
        <f t="shared" ref="S140:S143" si="64">R140*12</f>
        <v>162000</v>
      </c>
    </row>
    <row r="141" spans="1:20" x14ac:dyDescent="0.25">
      <c r="A141" s="20" t="s">
        <v>222</v>
      </c>
      <c r="B141" s="21" t="s">
        <v>130</v>
      </c>
      <c r="C141" s="22">
        <v>1</v>
      </c>
      <c r="D141" s="22">
        <v>3</v>
      </c>
      <c r="E141" s="23">
        <v>3770</v>
      </c>
      <c r="F141" s="22"/>
      <c r="G141" s="23">
        <f t="shared" si="63"/>
        <v>3770</v>
      </c>
      <c r="H141" s="23"/>
      <c r="I141" s="23">
        <f>G141*0.1</f>
        <v>377</v>
      </c>
      <c r="J141" s="23"/>
      <c r="K141" s="23"/>
      <c r="L141" s="23"/>
      <c r="M141" s="23"/>
      <c r="N141" s="23"/>
      <c r="O141" s="23"/>
      <c r="P141" s="23">
        <f>8000-G141</f>
        <v>4230</v>
      </c>
      <c r="Q141" s="23"/>
      <c r="R141" s="23">
        <f>SUM(G141:Q141)</f>
        <v>8377</v>
      </c>
      <c r="S141" s="25">
        <f t="shared" si="64"/>
        <v>100524</v>
      </c>
    </row>
    <row r="142" spans="1:20" x14ac:dyDescent="0.25">
      <c r="A142" s="20" t="s">
        <v>224</v>
      </c>
      <c r="B142" s="21" t="s">
        <v>223</v>
      </c>
      <c r="C142" s="22">
        <v>2</v>
      </c>
      <c r="D142" s="22">
        <v>1</v>
      </c>
      <c r="E142" s="23">
        <f>3195*C142</f>
        <v>6390</v>
      </c>
      <c r="F142" s="22"/>
      <c r="G142" s="23">
        <f t="shared" si="63"/>
        <v>6390</v>
      </c>
      <c r="H142" s="23"/>
      <c r="I142" s="23"/>
      <c r="J142" s="23"/>
      <c r="K142" s="23"/>
      <c r="L142" s="23"/>
      <c r="M142" s="23"/>
      <c r="N142" s="23"/>
      <c r="O142" s="23"/>
      <c r="P142" s="23">
        <f>8000*C142-G142</f>
        <v>9610</v>
      </c>
      <c r="Q142" s="23"/>
      <c r="R142" s="23">
        <f>SUM(G142:Q142)</f>
        <v>16000</v>
      </c>
      <c r="S142" s="25">
        <f>R142*6</f>
        <v>96000</v>
      </c>
    </row>
    <row r="143" spans="1:20" s="38" customFormat="1" x14ac:dyDescent="0.25">
      <c r="A143" s="20" t="s">
        <v>227</v>
      </c>
      <c r="B143" s="21" t="s">
        <v>225</v>
      </c>
      <c r="C143" s="22">
        <v>0.5</v>
      </c>
      <c r="D143" s="22">
        <v>1</v>
      </c>
      <c r="E143" s="23">
        <v>1597.5</v>
      </c>
      <c r="F143" s="22"/>
      <c r="G143" s="23">
        <f t="shared" si="63"/>
        <v>1597.5</v>
      </c>
      <c r="H143" s="23"/>
      <c r="I143" s="23"/>
      <c r="J143" s="23"/>
      <c r="K143" s="23"/>
      <c r="L143" s="23"/>
      <c r="M143" s="23"/>
      <c r="N143" s="23"/>
      <c r="O143" s="23"/>
      <c r="P143" s="23">
        <f>4000-G143</f>
        <v>2402.5</v>
      </c>
      <c r="Q143" s="23"/>
      <c r="R143" s="23">
        <f>SUM(G143:Q143)</f>
        <v>4000</v>
      </c>
      <c r="S143" s="25">
        <f t="shared" si="64"/>
        <v>48000</v>
      </c>
    </row>
    <row r="144" spans="1:20" s="27" customFormat="1" ht="22.2" customHeight="1" thickBot="1" x14ac:dyDescent="0.3">
      <c r="A144" s="64"/>
      <c r="B144" s="47" t="s">
        <v>55</v>
      </c>
      <c r="C144" s="34">
        <f>SUM(C139:C143)</f>
        <v>5.25</v>
      </c>
      <c r="D144" s="34"/>
      <c r="E144" s="35">
        <f>SUM(E139:E143)</f>
        <v>21757.25</v>
      </c>
      <c r="F144" s="34">
        <f>SUM(F139:F143)</f>
        <v>507.97500000000002</v>
      </c>
      <c r="G144" s="35">
        <f t="shared" si="63"/>
        <v>22265.224999999999</v>
      </c>
      <c r="H144" s="35"/>
      <c r="I144" s="35">
        <f>SUM(I141:I143)</f>
        <v>377</v>
      </c>
      <c r="J144" s="35"/>
      <c r="K144" s="35">
        <f>SUM(K139:K143)</f>
        <v>3152.3175000000001</v>
      </c>
      <c r="L144" s="35">
        <f>SUM(L139:L143)</f>
        <v>14839.9575</v>
      </c>
      <c r="M144" s="35"/>
      <c r="N144" s="35"/>
      <c r="O144" s="35"/>
      <c r="P144" s="35">
        <f>SUM(P139:P143)</f>
        <v>16242.5</v>
      </c>
      <c r="Q144" s="35"/>
      <c r="R144" s="35">
        <f>SUM(R139:R143)</f>
        <v>56877</v>
      </c>
      <c r="S144" s="36">
        <f>SUM(S139:S143)</f>
        <v>586524</v>
      </c>
    </row>
    <row r="145" spans="1:20" ht="20.399999999999999" customHeight="1" x14ac:dyDescent="0.25">
      <c r="A145" s="15"/>
      <c r="B145" s="55" t="s">
        <v>226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229</v>
      </c>
      <c r="B146" s="21" t="s">
        <v>228</v>
      </c>
      <c r="C146" s="22">
        <v>1.25</v>
      </c>
      <c r="D146" s="22">
        <v>13</v>
      </c>
      <c r="E146" s="23">
        <f>7253*C146</f>
        <v>9066.25</v>
      </c>
      <c r="F146" s="22">
        <f>E146*0.1</f>
        <v>906.625</v>
      </c>
      <c r="G146" s="23">
        <f t="shared" ref="G146:G150" si="65">E146+F146</f>
        <v>9972.875</v>
      </c>
      <c r="H146" s="23"/>
      <c r="I146" s="23"/>
      <c r="J146" s="23"/>
      <c r="K146" s="23">
        <f>G146*0.3</f>
        <v>2991.8624999999997</v>
      </c>
      <c r="L146" s="23">
        <f>20000*C146-G146-K146</f>
        <v>12035.262500000001</v>
      </c>
      <c r="M146" s="23"/>
      <c r="N146" s="23"/>
      <c r="O146" s="23"/>
      <c r="P146" s="23"/>
      <c r="Q146" s="23"/>
      <c r="R146" s="23">
        <f>G146+K146+L146+O146</f>
        <v>25000</v>
      </c>
      <c r="S146" s="25">
        <f>R146*12</f>
        <v>300000</v>
      </c>
    </row>
    <row r="147" spans="1:20" x14ac:dyDescent="0.25">
      <c r="A147" s="20" t="s">
        <v>230</v>
      </c>
      <c r="B147" s="21" t="s">
        <v>208</v>
      </c>
      <c r="C147" s="22">
        <v>2</v>
      </c>
      <c r="D147" s="22">
        <v>10</v>
      </c>
      <c r="E147" s="23">
        <f>5815*C147</f>
        <v>11630</v>
      </c>
      <c r="F147" s="22"/>
      <c r="G147" s="23">
        <f t="shared" si="65"/>
        <v>11630</v>
      </c>
      <c r="H147" s="23"/>
      <c r="I147" s="23"/>
      <c r="J147" s="23"/>
      <c r="K147" s="23">
        <f t="shared" ref="K147:K148" si="66">G147*0.3</f>
        <v>3489</v>
      </c>
      <c r="L147" s="23">
        <f>13500*C147-G147-K147</f>
        <v>11881</v>
      </c>
      <c r="M147" s="23"/>
      <c r="N147" s="23"/>
      <c r="O147" s="23"/>
      <c r="P147" s="23"/>
      <c r="Q147" s="23"/>
      <c r="R147" s="23">
        <f>G147+K147+L147</f>
        <v>27000</v>
      </c>
      <c r="S147" s="25">
        <f t="shared" ref="S147:S149" si="67">R147*12</f>
        <v>324000</v>
      </c>
    </row>
    <row r="148" spans="1:20" s="13" customFormat="1" x14ac:dyDescent="0.25">
      <c r="A148" s="20" t="s">
        <v>232</v>
      </c>
      <c r="B148" s="21" t="s">
        <v>231</v>
      </c>
      <c r="C148" s="22">
        <v>1</v>
      </c>
      <c r="D148" s="22">
        <v>7</v>
      </c>
      <c r="E148" s="23">
        <v>4920</v>
      </c>
      <c r="F148" s="22"/>
      <c r="G148" s="23">
        <f t="shared" si="65"/>
        <v>4920</v>
      </c>
      <c r="H148" s="23"/>
      <c r="I148" s="23"/>
      <c r="J148" s="23"/>
      <c r="K148" s="23">
        <f t="shared" si="66"/>
        <v>1476</v>
      </c>
      <c r="L148" s="23">
        <f>13500-G148-K148</f>
        <v>7104</v>
      </c>
      <c r="M148" s="23"/>
      <c r="N148" s="23"/>
      <c r="O148" s="23"/>
      <c r="P148" s="23"/>
      <c r="Q148" s="23"/>
      <c r="R148" s="23">
        <f>G148+L148+K148</f>
        <v>13500</v>
      </c>
      <c r="S148" s="25">
        <f t="shared" si="67"/>
        <v>162000</v>
      </c>
    </row>
    <row r="149" spans="1:20" s="38" customFormat="1" x14ac:dyDescent="0.25">
      <c r="A149" s="20" t="s">
        <v>234</v>
      </c>
      <c r="B149" s="21" t="s">
        <v>130</v>
      </c>
      <c r="C149" s="22">
        <v>1</v>
      </c>
      <c r="D149" s="22">
        <v>3</v>
      </c>
      <c r="E149" s="23">
        <v>3770</v>
      </c>
      <c r="F149" s="22"/>
      <c r="G149" s="23">
        <f t="shared" si="65"/>
        <v>3770</v>
      </c>
      <c r="H149" s="23"/>
      <c r="I149" s="23">
        <f>G149*0.1</f>
        <v>377</v>
      </c>
      <c r="J149" s="23"/>
      <c r="K149" s="23"/>
      <c r="L149" s="23"/>
      <c r="M149" s="23"/>
      <c r="N149" s="23"/>
      <c r="O149" s="23"/>
      <c r="P149" s="23">
        <f>8000-G149</f>
        <v>4230</v>
      </c>
      <c r="Q149" s="23"/>
      <c r="R149" s="23">
        <f>G149+I149+P149</f>
        <v>8377</v>
      </c>
      <c r="S149" s="25">
        <f t="shared" si="67"/>
        <v>100524</v>
      </c>
      <c r="T149" s="46"/>
    </row>
    <row r="150" spans="1:20" s="27" customFormat="1" ht="22.2" customHeight="1" thickBot="1" x14ac:dyDescent="0.3">
      <c r="A150" s="64"/>
      <c r="B150" s="47" t="s">
        <v>55</v>
      </c>
      <c r="C150" s="34">
        <f>SUM(C146:C149)</f>
        <v>5.25</v>
      </c>
      <c r="D150" s="34"/>
      <c r="E150" s="35">
        <f>SUM(E146:E149)</f>
        <v>29386.25</v>
      </c>
      <c r="F150" s="34">
        <f>SUM(F146:F149)</f>
        <v>906.625</v>
      </c>
      <c r="G150" s="35">
        <f t="shared" si="65"/>
        <v>30292.875</v>
      </c>
      <c r="H150" s="35"/>
      <c r="I150" s="35">
        <f>SUM(I149)</f>
        <v>377</v>
      </c>
      <c r="J150" s="35"/>
      <c r="K150" s="35">
        <f>SUM(K146:K149)</f>
        <v>7956.8624999999993</v>
      </c>
      <c r="L150" s="35">
        <f>SUM(L146:L149)</f>
        <v>31020.262500000001</v>
      </c>
      <c r="M150" s="35">
        <f>SUM(M146:M148)</f>
        <v>0</v>
      </c>
      <c r="N150" s="35"/>
      <c r="O150" s="35">
        <f>SUM(O146:O149)</f>
        <v>0</v>
      </c>
      <c r="P150" s="35">
        <f>SUM(P149)</f>
        <v>4230</v>
      </c>
      <c r="Q150" s="35"/>
      <c r="R150" s="35">
        <f>SUM(R146:R149)</f>
        <v>73877</v>
      </c>
      <c r="S150" s="36">
        <f>SUM(S146:S149)</f>
        <v>886524</v>
      </c>
    </row>
    <row r="151" spans="1:20" ht="19.8" customHeight="1" x14ac:dyDescent="0.25">
      <c r="A151" s="15"/>
      <c r="B151" s="55" t="s">
        <v>233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235</v>
      </c>
      <c r="B152" s="21" t="s">
        <v>202</v>
      </c>
      <c r="C152" s="22">
        <v>2</v>
      </c>
      <c r="D152" s="22">
        <v>11</v>
      </c>
      <c r="E152" s="23">
        <f>6294*C152</f>
        <v>12588</v>
      </c>
      <c r="F152" s="22">
        <f>E152*0.1</f>
        <v>1258.8000000000002</v>
      </c>
      <c r="G152" s="23">
        <f t="shared" ref="G152:G157" si="68">E152+F152</f>
        <v>13846.8</v>
      </c>
      <c r="H152" s="23"/>
      <c r="I152" s="23"/>
      <c r="J152" s="23"/>
      <c r="K152" s="23">
        <f>G152*0.3</f>
        <v>4154.04</v>
      </c>
      <c r="L152" s="23">
        <f>20000*C152-G152-K152</f>
        <v>21999.16</v>
      </c>
      <c r="M152" s="23"/>
      <c r="N152" s="23"/>
      <c r="O152" s="23"/>
      <c r="P152" s="23"/>
      <c r="Q152" s="23"/>
      <c r="R152" s="23">
        <f>SUM(G152:Q152)</f>
        <v>40000</v>
      </c>
      <c r="S152" s="25">
        <f>R152*12</f>
        <v>480000</v>
      </c>
    </row>
    <row r="153" spans="1:20" x14ac:dyDescent="0.25">
      <c r="A153" s="20" t="s">
        <v>236</v>
      </c>
      <c r="B153" s="21" t="s">
        <v>237</v>
      </c>
      <c r="C153" s="22">
        <v>2</v>
      </c>
      <c r="D153" s="22">
        <v>10</v>
      </c>
      <c r="E153" s="23">
        <f>5815*C153</f>
        <v>11630</v>
      </c>
      <c r="F153" s="22"/>
      <c r="G153" s="23">
        <f t="shared" si="68"/>
        <v>11630</v>
      </c>
      <c r="H153" s="23"/>
      <c r="I153" s="23"/>
      <c r="J153" s="23"/>
      <c r="K153" s="23">
        <f t="shared" ref="K153:K154" si="69">G153*0.3</f>
        <v>3489</v>
      </c>
      <c r="L153" s="23">
        <f>13500*C153-G153-K153</f>
        <v>11881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6" si="70">R153*12</f>
        <v>324000</v>
      </c>
    </row>
    <row r="154" spans="1:20" s="13" customFormat="1" x14ac:dyDescent="0.25">
      <c r="A154" s="20" t="s">
        <v>238</v>
      </c>
      <c r="B154" s="21" t="s">
        <v>87</v>
      </c>
      <c r="C154" s="22">
        <v>2</v>
      </c>
      <c r="D154" s="22">
        <v>9</v>
      </c>
      <c r="E154" s="23">
        <f>5527*C154</f>
        <v>11054</v>
      </c>
      <c r="F154" s="22"/>
      <c r="G154" s="23">
        <f t="shared" si="68"/>
        <v>11054</v>
      </c>
      <c r="H154" s="23"/>
      <c r="I154" s="23"/>
      <c r="J154" s="23"/>
      <c r="K154" s="23">
        <f t="shared" si="69"/>
        <v>3316.2</v>
      </c>
      <c r="L154" s="23">
        <f>13500*C154-G154-K154</f>
        <v>12629.8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si="70"/>
        <v>324000</v>
      </c>
    </row>
    <row r="155" spans="1:20" x14ac:dyDescent="0.25">
      <c r="A155" s="20" t="s">
        <v>239</v>
      </c>
      <c r="B155" s="21" t="s">
        <v>130</v>
      </c>
      <c r="C155" s="22">
        <v>1</v>
      </c>
      <c r="D155" s="22">
        <v>3</v>
      </c>
      <c r="E155" s="23">
        <v>3770</v>
      </c>
      <c r="F155" s="22"/>
      <c r="G155" s="23">
        <f t="shared" si="68"/>
        <v>3770</v>
      </c>
      <c r="H155" s="23"/>
      <c r="I155" s="23">
        <f>G155*0.1</f>
        <v>377</v>
      </c>
      <c r="J155" s="23"/>
      <c r="K155" s="23"/>
      <c r="L155" s="23"/>
      <c r="M155" s="23"/>
      <c r="N155" s="23"/>
      <c r="O155" s="23"/>
      <c r="P155" s="23">
        <f>8000-G155</f>
        <v>4230</v>
      </c>
      <c r="Q155" s="23"/>
      <c r="R155" s="23">
        <f>SUM(G155:Q155)</f>
        <v>8377</v>
      </c>
      <c r="S155" s="25">
        <f t="shared" si="70"/>
        <v>100524</v>
      </c>
    </row>
    <row r="156" spans="1:20" s="38" customFormat="1" x14ac:dyDescent="0.25">
      <c r="A156" s="20" t="s">
        <v>240</v>
      </c>
      <c r="B156" s="21" t="s">
        <v>241</v>
      </c>
      <c r="C156" s="22">
        <v>1</v>
      </c>
      <c r="D156" s="22">
        <v>5</v>
      </c>
      <c r="E156" s="23">
        <v>4345</v>
      </c>
      <c r="F156" s="22"/>
      <c r="G156" s="23">
        <f t="shared" si="68"/>
        <v>4345</v>
      </c>
      <c r="H156" s="23"/>
      <c r="I156" s="23"/>
      <c r="J156" s="23"/>
      <c r="K156" s="23"/>
      <c r="L156" s="23"/>
      <c r="M156" s="23"/>
      <c r="N156" s="23"/>
      <c r="O156" s="23"/>
      <c r="P156" s="23">
        <f>8000-G156</f>
        <v>3655</v>
      </c>
      <c r="Q156" s="23"/>
      <c r="R156" s="23">
        <f>G156+P156</f>
        <v>8000</v>
      </c>
      <c r="S156" s="25">
        <f t="shared" si="70"/>
        <v>96000</v>
      </c>
    </row>
    <row r="157" spans="1:20" s="27" customFormat="1" ht="24.6" customHeight="1" thickBot="1" x14ac:dyDescent="0.3">
      <c r="A157" s="64"/>
      <c r="B157" s="47" t="s">
        <v>55</v>
      </c>
      <c r="C157" s="34">
        <f>SUM(C152:C156)</f>
        <v>8</v>
      </c>
      <c r="D157" s="34"/>
      <c r="E157" s="35">
        <f>SUM(E152:E156)</f>
        <v>43387</v>
      </c>
      <c r="F157" s="34">
        <f>SUM(F152:F156)</f>
        <v>1258.8000000000002</v>
      </c>
      <c r="G157" s="35">
        <f t="shared" si="68"/>
        <v>44645.8</v>
      </c>
      <c r="H157" s="35"/>
      <c r="I157" s="35">
        <f>SUM(I155:I156)</f>
        <v>377</v>
      </c>
      <c r="J157" s="35"/>
      <c r="K157" s="35">
        <f>SUM(K152:K156)</f>
        <v>10959.24</v>
      </c>
      <c r="L157" s="35">
        <f>SUM(L152:L156)</f>
        <v>46509.960000000006</v>
      </c>
      <c r="M157" s="35" t="e">
        <f>M152+#REF!</f>
        <v>#REF!</v>
      </c>
      <c r="N157" s="35"/>
      <c r="O157" s="35">
        <f>SUM(O152:O156)</f>
        <v>0</v>
      </c>
      <c r="P157" s="35">
        <f>SUM(P155:P156)</f>
        <v>7885</v>
      </c>
      <c r="Q157" s="35"/>
      <c r="R157" s="35">
        <f>SUM(R152:R156)</f>
        <v>110377</v>
      </c>
      <c r="S157" s="36">
        <f>SUM(S152:S156)</f>
        <v>1324524</v>
      </c>
    </row>
    <row r="158" spans="1:20" s="13" customFormat="1" ht="18" customHeight="1" x14ac:dyDescent="0.2">
      <c r="A158" s="18"/>
      <c r="B158" s="55" t="s">
        <v>242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243</v>
      </c>
      <c r="B159" s="21" t="s">
        <v>228</v>
      </c>
      <c r="C159" s="22">
        <v>1.25</v>
      </c>
      <c r="D159" s="22">
        <v>11</v>
      </c>
      <c r="E159" s="23">
        <f>6294*C159</f>
        <v>7867.5</v>
      </c>
      <c r="F159" s="22">
        <f>E159*0.1</f>
        <v>786.75</v>
      </c>
      <c r="G159" s="23">
        <f t="shared" ref="G159:G162" si="71">E159+F159</f>
        <v>8654.25</v>
      </c>
      <c r="H159" s="23"/>
      <c r="I159" s="23"/>
      <c r="J159" s="23"/>
      <c r="K159" s="23">
        <f>G159*0.3</f>
        <v>2596.2750000000001</v>
      </c>
      <c r="L159" s="23">
        <f>20000*C159-G159-K159</f>
        <v>13749.475</v>
      </c>
      <c r="M159" s="23"/>
      <c r="N159" s="23"/>
      <c r="O159" s="23"/>
      <c r="P159" s="23"/>
      <c r="Q159" s="23"/>
      <c r="R159" s="23">
        <f>G159+K159+L159+O159</f>
        <v>25000</v>
      </c>
      <c r="S159" s="25">
        <f>R159*12</f>
        <v>300000</v>
      </c>
      <c r="T159" s="53"/>
    </row>
    <row r="160" spans="1:20" x14ac:dyDescent="0.25">
      <c r="A160" s="20" t="s">
        <v>244</v>
      </c>
      <c r="B160" s="21" t="s">
        <v>231</v>
      </c>
      <c r="C160" s="22">
        <v>1</v>
      </c>
      <c r="D160" s="22">
        <v>10</v>
      </c>
      <c r="E160" s="23">
        <v>5815</v>
      </c>
      <c r="F160" s="22"/>
      <c r="G160" s="23">
        <f t="shared" si="71"/>
        <v>5815</v>
      </c>
      <c r="H160" s="23"/>
      <c r="I160" s="23"/>
      <c r="J160" s="23"/>
      <c r="K160" s="23">
        <f t="shared" ref="K160:K161" si="72">G160*0.3</f>
        <v>1744.5</v>
      </c>
      <c r="L160" s="23">
        <f>13500-G160-K160</f>
        <v>5940.5</v>
      </c>
      <c r="M160" s="23"/>
      <c r="N160" s="23"/>
      <c r="O160" s="23"/>
      <c r="P160" s="23"/>
      <c r="Q160" s="23"/>
      <c r="R160" s="23">
        <f>G160+K160+L160</f>
        <v>13500</v>
      </c>
      <c r="S160" s="25">
        <f t="shared" ref="S160:S163" si="73">R160*12</f>
        <v>162000</v>
      </c>
    </row>
    <row r="161" spans="1:20" x14ac:dyDescent="0.25">
      <c r="A161" s="20" t="s">
        <v>245</v>
      </c>
      <c r="B161" s="21" t="s">
        <v>87</v>
      </c>
      <c r="C161" s="22">
        <v>0.5</v>
      </c>
      <c r="D161" s="22">
        <v>10</v>
      </c>
      <c r="E161" s="23">
        <v>2907.5</v>
      </c>
      <c r="F161" s="22"/>
      <c r="G161" s="23">
        <f t="shared" si="71"/>
        <v>2907.5</v>
      </c>
      <c r="H161" s="23"/>
      <c r="I161" s="23"/>
      <c r="J161" s="23"/>
      <c r="K161" s="23">
        <f t="shared" si="72"/>
        <v>872.25</v>
      </c>
      <c r="L161" s="23">
        <f>13500/2-G161-K161</f>
        <v>2970.25</v>
      </c>
      <c r="M161" s="23"/>
      <c r="N161" s="23"/>
      <c r="O161" s="23"/>
      <c r="P161" s="23"/>
      <c r="Q161" s="23"/>
      <c r="R161" s="23">
        <f>G161+K161+L161</f>
        <v>6750</v>
      </c>
      <c r="S161" s="25">
        <f t="shared" si="73"/>
        <v>81000</v>
      </c>
    </row>
    <row r="162" spans="1:20" x14ac:dyDescent="0.25">
      <c r="A162" s="20" t="s">
        <v>246</v>
      </c>
      <c r="B162" s="21" t="s">
        <v>130</v>
      </c>
      <c r="C162" s="22">
        <v>0.5</v>
      </c>
      <c r="D162" s="22">
        <v>3</v>
      </c>
      <c r="E162" s="23">
        <v>1885</v>
      </c>
      <c r="F162" s="22"/>
      <c r="G162" s="23">
        <f t="shared" si="71"/>
        <v>1885</v>
      </c>
      <c r="H162" s="23"/>
      <c r="I162" s="23">
        <f>G162*0.1</f>
        <v>188.5</v>
      </c>
      <c r="J162" s="23"/>
      <c r="K162" s="23"/>
      <c r="L162" s="23"/>
      <c r="M162" s="23"/>
      <c r="N162" s="23"/>
      <c r="O162" s="23"/>
      <c r="P162" s="23">
        <f>8000/2-G162</f>
        <v>2115</v>
      </c>
      <c r="Q162" s="23"/>
      <c r="R162" s="23">
        <f>SUM(G162:Q162)</f>
        <v>4188.5</v>
      </c>
      <c r="S162" s="25">
        <f t="shared" si="73"/>
        <v>50262</v>
      </c>
    </row>
    <row r="163" spans="1:20" s="38" customFormat="1" x14ac:dyDescent="0.25">
      <c r="A163" s="20" t="s">
        <v>247</v>
      </c>
      <c r="B163" s="21" t="s">
        <v>225</v>
      </c>
      <c r="C163" s="22">
        <v>0.5</v>
      </c>
      <c r="D163" s="22">
        <v>1</v>
      </c>
      <c r="E163" s="23">
        <v>1597.5</v>
      </c>
      <c r="F163" s="22"/>
      <c r="G163" s="23">
        <f>E163+F163</f>
        <v>1597.5</v>
      </c>
      <c r="H163" s="23"/>
      <c r="I163" s="23"/>
      <c r="J163" s="23"/>
      <c r="K163" s="23"/>
      <c r="L163" s="23"/>
      <c r="M163" s="23"/>
      <c r="N163" s="23"/>
      <c r="O163" s="23"/>
      <c r="P163" s="23">
        <f>8000/2-G163</f>
        <v>2402.5</v>
      </c>
      <c r="Q163" s="23"/>
      <c r="R163" s="23">
        <f t="shared" ref="R163" si="74">SUM(G163:Q163)</f>
        <v>4000</v>
      </c>
      <c r="S163" s="25">
        <f t="shared" si="73"/>
        <v>48000</v>
      </c>
    </row>
    <row r="164" spans="1:20" s="49" customFormat="1" ht="20.399999999999999" customHeight="1" thickBot="1" x14ac:dyDescent="0.3">
      <c r="A164" s="64"/>
      <c r="B164" s="47" t="s">
        <v>55</v>
      </c>
      <c r="C164" s="34">
        <f>SUM(C159:C163)</f>
        <v>3.75</v>
      </c>
      <c r="D164" s="34"/>
      <c r="E164" s="35">
        <f>SUM(E159:E163)</f>
        <v>20072.5</v>
      </c>
      <c r="F164" s="34">
        <f>SUM(F159:F163)</f>
        <v>786.75</v>
      </c>
      <c r="G164" s="35">
        <f>SUM(G159:G163)</f>
        <v>20859.25</v>
      </c>
      <c r="H164" s="35"/>
      <c r="I164" s="35">
        <f>SUM(I162:I163)</f>
        <v>188.5</v>
      </c>
      <c r="J164" s="35"/>
      <c r="K164" s="35">
        <f>SUM(K159:K163)</f>
        <v>5213.0249999999996</v>
      </c>
      <c r="L164" s="35">
        <f>SUM(L159:L163)</f>
        <v>22660.224999999999</v>
      </c>
      <c r="M164" s="35"/>
      <c r="N164" s="35"/>
      <c r="O164" s="35">
        <f>SUM(O159:O163)</f>
        <v>0</v>
      </c>
      <c r="P164" s="35">
        <f>SUM(P162:P163)</f>
        <v>4517.5</v>
      </c>
      <c r="Q164" s="35"/>
      <c r="R164" s="35">
        <f>SUM(R159:R163)</f>
        <v>53438.5</v>
      </c>
      <c r="S164" s="36">
        <f>SUM(S159:S163)</f>
        <v>641262</v>
      </c>
    </row>
    <row r="165" spans="1:20" s="13" customFormat="1" ht="23.4" customHeight="1" x14ac:dyDescent="0.2">
      <c r="A165" s="18"/>
      <c r="B165" s="55" t="s">
        <v>248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s="13" customFormat="1" x14ac:dyDescent="0.25">
      <c r="A166" s="20" t="s">
        <v>249</v>
      </c>
      <c r="B166" s="21" t="s">
        <v>202</v>
      </c>
      <c r="C166" s="22">
        <v>1</v>
      </c>
      <c r="D166" s="22">
        <v>14</v>
      </c>
      <c r="E166" s="23">
        <v>7732</v>
      </c>
      <c r="F166" s="22">
        <f>E166*0.1</f>
        <v>773.2</v>
      </c>
      <c r="G166" s="23">
        <f t="shared" ref="G166:G173" si="75">E166+F166</f>
        <v>8505.2000000000007</v>
      </c>
      <c r="H166" s="23"/>
      <c r="I166" s="23"/>
      <c r="J166" s="23"/>
      <c r="K166" s="23">
        <f>G166*0.3</f>
        <v>2551.56</v>
      </c>
      <c r="L166" s="23">
        <f>20000-G166-K166</f>
        <v>8943.24</v>
      </c>
      <c r="M166" s="23"/>
      <c r="N166" s="23"/>
      <c r="O166" s="23"/>
      <c r="P166" s="23"/>
      <c r="Q166" s="23"/>
      <c r="R166" s="23">
        <f>G166+K166+L166+O166</f>
        <v>20000</v>
      </c>
      <c r="S166" s="25">
        <f>R166*12</f>
        <v>240000</v>
      </c>
    </row>
    <row r="167" spans="1:20" s="13" customFormat="1" x14ac:dyDescent="0.25">
      <c r="A167" s="20" t="s">
        <v>250</v>
      </c>
      <c r="B167" s="21" t="s">
        <v>108</v>
      </c>
      <c r="C167" s="22">
        <v>0.5</v>
      </c>
      <c r="D167" s="22">
        <v>13</v>
      </c>
      <c r="E167" s="23">
        <f>7253*C167</f>
        <v>3626.5</v>
      </c>
      <c r="F167" s="22"/>
      <c r="G167" s="23">
        <f t="shared" si="75"/>
        <v>3626.5</v>
      </c>
      <c r="H167" s="23"/>
      <c r="I167" s="23"/>
      <c r="J167" s="23"/>
      <c r="K167" s="23">
        <f t="shared" ref="K167:K170" si="76">G167*0.3</f>
        <v>1087.95</v>
      </c>
      <c r="L167" s="23">
        <f>20000*C167-G167-K167</f>
        <v>5285.55</v>
      </c>
      <c r="M167" s="23"/>
      <c r="N167" s="23"/>
      <c r="O167" s="23"/>
      <c r="P167" s="23"/>
      <c r="Q167" s="23"/>
      <c r="R167" s="23">
        <f>G167+K167+L167+O167</f>
        <v>10000</v>
      </c>
      <c r="S167" s="25">
        <f t="shared" ref="S167:S172" si="77">R167*12</f>
        <v>120000</v>
      </c>
    </row>
    <row r="168" spans="1:20" x14ac:dyDescent="0.25">
      <c r="A168" s="20" t="s">
        <v>251</v>
      </c>
      <c r="B168" s="21" t="s">
        <v>167</v>
      </c>
      <c r="C168" s="22">
        <v>1</v>
      </c>
      <c r="D168" s="22">
        <v>11</v>
      </c>
      <c r="E168" s="23">
        <v>6294</v>
      </c>
      <c r="F168" s="22"/>
      <c r="G168" s="23">
        <f t="shared" si="75"/>
        <v>6294</v>
      </c>
      <c r="H168" s="23"/>
      <c r="I168" s="23"/>
      <c r="J168" s="23"/>
      <c r="K168" s="23">
        <f t="shared" si="76"/>
        <v>1888.1999999999998</v>
      </c>
      <c r="L168" s="23">
        <f>20000-G168-K168</f>
        <v>11817.8</v>
      </c>
      <c r="M168" s="23"/>
      <c r="N168" s="23"/>
      <c r="O168" s="23"/>
      <c r="P168" s="23"/>
      <c r="Q168" s="23"/>
      <c r="R168" s="23">
        <f>G168+K168+L168+O168</f>
        <v>20000</v>
      </c>
      <c r="S168" s="25">
        <f t="shared" si="77"/>
        <v>240000</v>
      </c>
    </row>
    <row r="169" spans="1:20" x14ac:dyDescent="0.25">
      <c r="A169" s="20" t="s">
        <v>252</v>
      </c>
      <c r="B169" s="21" t="s">
        <v>208</v>
      </c>
      <c r="C169" s="22">
        <v>1</v>
      </c>
      <c r="D169" s="22">
        <v>10</v>
      </c>
      <c r="E169" s="23">
        <v>5815</v>
      </c>
      <c r="F169" s="22"/>
      <c r="G169" s="23">
        <f t="shared" si="75"/>
        <v>5815</v>
      </c>
      <c r="H169" s="23"/>
      <c r="I169" s="23"/>
      <c r="J169" s="23"/>
      <c r="K169" s="23">
        <f t="shared" si="76"/>
        <v>1744.5</v>
      </c>
      <c r="L169" s="23">
        <f>13500-G169-K169</f>
        <v>5940.5</v>
      </c>
      <c r="M169" s="23"/>
      <c r="N169" s="23"/>
      <c r="O169" s="23"/>
      <c r="P169" s="23"/>
      <c r="Q169" s="23"/>
      <c r="R169" s="23">
        <f>G169+K169+L169</f>
        <v>13500</v>
      </c>
      <c r="S169" s="25">
        <f t="shared" si="77"/>
        <v>162000</v>
      </c>
    </row>
    <row r="170" spans="1:20" x14ac:dyDescent="0.25">
      <c r="A170" s="20" t="s">
        <v>253</v>
      </c>
      <c r="B170" s="21" t="s">
        <v>231</v>
      </c>
      <c r="C170" s="22">
        <v>2</v>
      </c>
      <c r="D170" s="22">
        <v>10</v>
      </c>
      <c r="E170" s="23">
        <f>5815*C170</f>
        <v>11630</v>
      </c>
      <c r="F170" s="22"/>
      <c r="G170" s="23">
        <f t="shared" si="75"/>
        <v>11630</v>
      </c>
      <c r="H170" s="23"/>
      <c r="I170" s="23"/>
      <c r="J170" s="23"/>
      <c r="K170" s="23">
        <f t="shared" si="76"/>
        <v>3489</v>
      </c>
      <c r="L170" s="23">
        <f>13500*C170-G170-K170</f>
        <v>11881</v>
      </c>
      <c r="M170" s="23"/>
      <c r="N170" s="23"/>
      <c r="O170" s="23"/>
      <c r="P170" s="23"/>
      <c r="Q170" s="23"/>
      <c r="R170" s="23">
        <f t="shared" ref="R170" si="78">G170+K170+L170</f>
        <v>27000</v>
      </c>
      <c r="S170" s="25">
        <f t="shared" si="77"/>
        <v>324000</v>
      </c>
    </row>
    <row r="171" spans="1:20" x14ac:dyDescent="0.25">
      <c r="A171" s="20" t="s">
        <v>254</v>
      </c>
      <c r="B171" s="21" t="s">
        <v>130</v>
      </c>
      <c r="C171" s="22">
        <v>1</v>
      </c>
      <c r="D171" s="22">
        <v>3</v>
      </c>
      <c r="E171" s="23">
        <v>3770</v>
      </c>
      <c r="F171" s="22"/>
      <c r="G171" s="23">
        <f t="shared" si="75"/>
        <v>3770</v>
      </c>
      <c r="H171" s="23"/>
      <c r="I171" s="23">
        <f>G171*0.1</f>
        <v>377</v>
      </c>
      <c r="J171" s="23"/>
      <c r="K171" s="23"/>
      <c r="L171" s="23"/>
      <c r="M171" s="23"/>
      <c r="N171" s="23"/>
      <c r="O171" s="23"/>
      <c r="P171" s="23">
        <f>8000-G171</f>
        <v>4230</v>
      </c>
      <c r="Q171" s="23"/>
      <c r="R171" s="23">
        <f>G171+I171+P171</f>
        <v>8377</v>
      </c>
      <c r="S171" s="25">
        <f t="shared" si="77"/>
        <v>100524</v>
      </c>
      <c r="T171" s="53"/>
    </row>
    <row r="172" spans="1:20" s="38" customFormat="1" x14ac:dyDescent="0.25">
      <c r="A172" s="20" t="s">
        <v>256</v>
      </c>
      <c r="B172" s="21" t="s">
        <v>241</v>
      </c>
      <c r="C172" s="22">
        <v>0.5</v>
      </c>
      <c r="D172" s="22">
        <v>5</v>
      </c>
      <c r="E172" s="23">
        <v>2172.5</v>
      </c>
      <c r="F172" s="22"/>
      <c r="G172" s="23">
        <f t="shared" si="75"/>
        <v>2172.5</v>
      </c>
      <c r="H172" s="23"/>
      <c r="I172" s="23"/>
      <c r="J172" s="23"/>
      <c r="K172" s="23"/>
      <c r="L172" s="23"/>
      <c r="M172" s="23"/>
      <c r="N172" s="23"/>
      <c r="O172" s="23"/>
      <c r="P172" s="23">
        <f>8000/2-G172</f>
        <v>1827.5</v>
      </c>
      <c r="Q172" s="23"/>
      <c r="R172" s="23">
        <f>SUM(G172:Q172)</f>
        <v>4000</v>
      </c>
      <c r="S172" s="25">
        <f t="shared" si="77"/>
        <v>48000</v>
      </c>
    </row>
    <row r="173" spans="1:20" s="49" customFormat="1" ht="21.6" customHeight="1" thickBot="1" x14ac:dyDescent="0.3">
      <c r="A173" s="64"/>
      <c r="B173" s="47" t="s">
        <v>55</v>
      </c>
      <c r="C173" s="34">
        <f>SUM(C166:C172)</f>
        <v>7</v>
      </c>
      <c r="D173" s="34"/>
      <c r="E173" s="35">
        <f>SUM(E166:E172)</f>
        <v>41040</v>
      </c>
      <c r="F173" s="34">
        <f>SUM(F166:F172)</f>
        <v>773.2</v>
      </c>
      <c r="G173" s="35">
        <f t="shared" si="75"/>
        <v>41813.199999999997</v>
      </c>
      <c r="H173" s="35"/>
      <c r="I173" s="35">
        <f>SUM(I171:I172)</f>
        <v>377</v>
      </c>
      <c r="J173" s="35"/>
      <c r="K173" s="35">
        <f>SUM(K166:K172)</f>
        <v>10761.21</v>
      </c>
      <c r="L173" s="35">
        <f>SUM(L166:L172)</f>
        <v>43868.09</v>
      </c>
      <c r="M173" s="35"/>
      <c r="N173" s="35"/>
      <c r="O173" s="35">
        <f>SUM(O166:O172)</f>
        <v>0</v>
      </c>
      <c r="P173" s="35">
        <f>SUM(P166:P172)</f>
        <v>6057.5</v>
      </c>
      <c r="Q173" s="35"/>
      <c r="R173" s="35">
        <f>SUM(R166:R172)</f>
        <v>102877</v>
      </c>
      <c r="S173" s="36">
        <f>SUM(S166:S172)</f>
        <v>1234524</v>
      </c>
    </row>
    <row r="174" spans="1:20" s="13" customFormat="1" ht="18" customHeight="1" x14ac:dyDescent="0.2">
      <c r="A174" s="18"/>
      <c r="B174" s="55" t="s">
        <v>255</v>
      </c>
      <c r="C174" s="85"/>
      <c r="D174" s="85"/>
      <c r="E174" s="94"/>
      <c r="F174" s="85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110"/>
    </row>
    <row r="175" spans="1:20" s="13" customFormat="1" x14ac:dyDescent="0.25">
      <c r="A175" s="20" t="s">
        <v>257</v>
      </c>
      <c r="B175" s="21" t="s">
        <v>202</v>
      </c>
      <c r="C175" s="22">
        <v>0.75</v>
      </c>
      <c r="D175" s="22">
        <v>14</v>
      </c>
      <c r="E175" s="23">
        <f>7732*C175</f>
        <v>5799</v>
      </c>
      <c r="F175" s="22">
        <f>E175*0.1</f>
        <v>579.9</v>
      </c>
      <c r="G175" s="23">
        <f t="shared" ref="G175:G178" si="79">E175+F175</f>
        <v>6378.9</v>
      </c>
      <c r="H175" s="23"/>
      <c r="I175" s="23"/>
      <c r="J175" s="23"/>
      <c r="K175" s="23"/>
      <c r="L175" s="23">
        <f>20000*C175-G175</f>
        <v>8621.1</v>
      </c>
      <c r="M175" s="23"/>
      <c r="N175" s="23"/>
      <c r="O175" s="23"/>
      <c r="P175" s="23"/>
      <c r="Q175" s="23"/>
      <c r="R175" s="23">
        <f>SUM(G175:Q175)</f>
        <v>15000</v>
      </c>
      <c r="S175" s="25">
        <f>R175*12</f>
        <v>180000</v>
      </c>
    </row>
    <row r="176" spans="1:20" x14ac:dyDescent="0.25">
      <c r="A176" s="20" t="s">
        <v>258</v>
      </c>
      <c r="B176" s="21" t="s">
        <v>231</v>
      </c>
      <c r="C176" s="22">
        <v>1</v>
      </c>
      <c r="D176" s="22">
        <v>10</v>
      </c>
      <c r="E176" s="23">
        <v>5815</v>
      </c>
      <c r="F176" s="22"/>
      <c r="G176" s="23">
        <f t="shared" si="79"/>
        <v>5815</v>
      </c>
      <c r="H176" s="23"/>
      <c r="I176" s="23"/>
      <c r="J176" s="23"/>
      <c r="K176" s="23">
        <f>G176*0.3</f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ref="S176:S177" si="80">R176*12</f>
        <v>162000</v>
      </c>
      <c r="T176" s="53"/>
    </row>
    <row r="177" spans="1:20" s="38" customFormat="1" x14ac:dyDescent="0.25">
      <c r="A177" s="20" t="s">
        <v>260</v>
      </c>
      <c r="B177" s="21" t="s">
        <v>130</v>
      </c>
      <c r="C177" s="22">
        <v>1</v>
      </c>
      <c r="D177" s="22">
        <v>3</v>
      </c>
      <c r="E177" s="23">
        <v>3770</v>
      </c>
      <c r="F177" s="22"/>
      <c r="G177" s="23">
        <f t="shared" si="79"/>
        <v>3770</v>
      </c>
      <c r="H177" s="23"/>
      <c r="I177" s="23">
        <f>G177*0.1</f>
        <v>377</v>
      </c>
      <c r="J177" s="23"/>
      <c r="K177" s="23"/>
      <c r="L177" s="23"/>
      <c r="M177" s="23"/>
      <c r="N177" s="23"/>
      <c r="O177" s="23"/>
      <c r="P177" s="23">
        <f>8000-G177</f>
        <v>4230</v>
      </c>
      <c r="Q177" s="23"/>
      <c r="R177" s="23">
        <f>G177+I177+P177</f>
        <v>8377</v>
      </c>
      <c r="S177" s="25">
        <f t="shared" si="80"/>
        <v>100524</v>
      </c>
    </row>
    <row r="178" spans="1:20" s="49" customFormat="1" ht="21" customHeight="1" thickBot="1" x14ac:dyDescent="0.3">
      <c r="A178" s="64"/>
      <c r="B178" s="47" t="s">
        <v>55</v>
      </c>
      <c r="C178" s="34">
        <f>SUM(C175:C177)</f>
        <v>2.75</v>
      </c>
      <c r="D178" s="34"/>
      <c r="E178" s="35">
        <f>SUM(E175:E177)</f>
        <v>15384</v>
      </c>
      <c r="F178" s="34">
        <f>SUM(F175:F177)</f>
        <v>579.9</v>
      </c>
      <c r="G178" s="35">
        <f t="shared" si="79"/>
        <v>15963.9</v>
      </c>
      <c r="H178" s="35"/>
      <c r="I178" s="35">
        <f>SUM(I177)</f>
        <v>377</v>
      </c>
      <c r="J178" s="35"/>
      <c r="K178" s="35">
        <f>K176</f>
        <v>1744.5</v>
      </c>
      <c r="L178" s="35">
        <f>L175+L176</f>
        <v>14561.6</v>
      </c>
      <c r="M178" s="35">
        <f>M175</f>
        <v>0</v>
      </c>
      <c r="N178" s="35"/>
      <c r="O178" s="35"/>
      <c r="P178" s="35">
        <f>SUM(P177)</f>
        <v>4230</v>
      </c>
      <c r="Q178" s="35"/>
      <c r="R178" s="35">
        <f>SUM(R175:R177)</f>
        <v>36877</v>
      </c>
      <c r="S178" s="36">
        <f>SUM(S175:S177)</f>
        <v>442524</v>
      </c>
    </row>
    <row r="179" spans="1:20" ht="15" customHeight="1" x14ac:dyDescent="0.25">
      <c r="A179" s="15"/>
      <c r="B179" s="55" t="s">
        <v>305</v>
      </c>
      <c r="C179" s="85"/>
      <c r="D179" s="85"/>
      <c r="E179" s="94"/>
      <c r="F179" s="85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110"/>
    </row>
    <row r="180" spans="1:20" ht="19.8" customHeight="1" x14ac:dyDescent="0.25">
      <c r="A180" s="20"/>
      <c r="B180" s="44" t="s">
        <v>259</v>
      </c>
      <c r="C180" s="22"/>
      <c r="D180" s="22"/>
      <c r="E180" s="23"/>
      <c r="F180" s="22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5"/>
    </row>
    <row r="181" spans="1:20" x14ac:dyDescent="0.25">
      <c r="A181" s="20" t="s">
        <v>260</v>
      </c>
      <c r="B181" s="21" t="s">
        <v>216</v>
      </c>
      <c r="C181" s="22">
        <v>0.5</v>
      </c>
      <c r="D181" s="22">
        <v>10</v>
      </c>
      <c r="E181" s="23">
        <v>2907.5</v>
      </c>
      <c r="F181" s="22"/>
      <c r="G181" s="23">
        <f t="shared" ref="G181:G184" si="81">E181+F181</f>
        <v>2907.5</v>
      </c>
      <c r="H181" s="23"/>
      <c r="I181" s="23"/>
      <c r="J181" s="23"/>
      <c r="K181" s="23">
        <f>G181*0.3</f>
        <v>872.25</v>
      </c>
      <c r="L181" s="23">
        <f>R181-K181-G181</f>
        <v>2970.25</v>
      </c>
      <c r="M181" s="23"/>
      <c r="N181" s="23"/>
      <c r="O181" s="23"/>
      <c r="P181" s="23"/>
      <c r="Q181" s="23"/>
      <c r="R181" s="23">
        <v>6750</v>
      </c>
      <c r="S181" s="25">
        <f>R181*12</f>
        <v>81000</v>
      </c>
    </row>
    <row r="182" spans="1:20" x14ac:dyDescent="0.25">
      <c r="A182" s="20" t="s">
        <v>261</v>
      </c>
      <c r="B182" s="21" t="s">
        <v>130</v>
      </c>
      <c r="C182" s="22">
        <v>0.25</v>
      </c>
      <c r="D182" s="22">
        <v>3</v>
      </c>
      <c r="E182" s="23">
        <v>942.5</v>
      </c>
      <c r="F182" s="22"/>
      <c r="G182" s="23">
        <f t="shared" si="81"/>
        <v>942.5</v>
      </c>
      <c r="H182" s="23"/>
      <c r="I182" s="23">
        <f>G182*0.1</f>
        <v>94.25</v>
      </c>
      <c r="J182" s="23"/>
      <c r="K182" s="23"/>
      <c r="L182" s="23"/>
      <c r="M182" s="23"/>
      <c r="N182" s="23"/>
      <c r="O182" s="23"/>
      <c r="P182" s="23">
        <f>8000*0.25-G182</f>
        <v>1057.5</v>
      </c>
      <c r="Q182" s="23"/>
      <c r="R182" s="23">
        <f>E182+I182+P182</f>
        <v>2094.25</v>
      </c>
      <c r="S182" s="25">
        <f>R182*12</f>
        <v>25131</v>
      </c>
    </row>
    <row r="183" spans="1:20" s="38" customFormat="1" x14ac:dyDescent="0.25">
      <c r="A183" s="20" t="s">
        <v>262</v>
      </c>
      <c r="B183" s="21" t="s">
        <v>263</v>
      </c>
      <c r="C183" s="22">
        <v>0.25</v>
      </c>
      <c r="D183" s="22">
        <v>1</v>
      </c>
      <c r="E183" s="23">
        <v>798.75</v>
      </c>
      <c r="F183" s="22"/>
      <c r="G183" s="23">
        <f t="shared" si="81"/>
        <v>798.75</v>
      </c>
      <c r="H183" s="23"/>
      <c r="I183" s="23"/>
      <c r="J183" s="23"/>
      <c r="K183" s="23"/>
      <c r="L183" s="23"/>
      <c r="M183" s="23"/>
      <c r="N183" s="23"/>
      <c r="O183" s="23"/>
      <c r="P183" s="23">
        <f>8000*0.25-G183</f>
        <v>1201.25</v>
      </c>
      <c r="Q183" s="23"/>
      <c r="R183" s="23">
        <f>E183+P183</f>
        <v>2000</v>
      </c>
      <c r="S183" s="25">
        <f>R183*6</f>
        <v>12000</v>
      </c>
    </row>
    <row r="184" spans="1:20" s="27" customFormat="1" ht="15" customHeight="1" thickBot="1" x14ac:dyDescent="0.3">
      <c r="A184" s="112"/>
      <c r="B184" s="113" t="s">
        <v>55</v>
      </c>
      <c r="C184" s="114">
        <f>C181+C182+C183</f>
        <v>1</v>
      </c>
      <c r="D184" s="114"/>
      <c r="E184" s="115">
        <f>E181+E182+E183</f>
        <v>4648.75</v>
      </c>
      <c r="F184" s="114"/>
      <c r="G184" s="115">
        <f t="shared" si="81"/>
        <v>4648.75</v>
      </c>
      <c r="H184" s="115"/>
      <c r="I184" s="115">
        <f>SUM(I182)</f>
        <v>94.25</v>
      </c>
      <c r="J184" s="115"/>
      <c r="K184" s="115">
        <f>SUM(K181:K182)</f>
        <v>872.25</v>
      </c>
      <c r="L184" s="115">
        <f>SUM(L181:L182)</f>
        <v>2970.25</v>
      </c>
      <c r="M184" s="115"/>
      <c r="N184" s="115"/>
      <c r="O184" s="115"/>
      <c r="P184" s="115">
        <f>P182+P183</f>
        <v>2258.75</v>
      </c>
      <c r="Q184" s="115"/>
      <c r="R184" s="115">
        <f>SUM(R181:R183)</f>
        <v>10844.25</v>
      </c>
      <c r="S184" s="116">
        <f>SUM(S181:S183)</f>
        <v>118131</v>
      </c>
    </row>
    <row r="185" spans="1:20" s="13" customFormat="1" ht="20.399999999999999" customHeight="1" x14ac:dyDescent="0.2">
      <c r="A185" s="18"/>
      <c r="B185" s="55" t="s">
        <v>264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x14ac:dyDescent="0.25">
      <c r="A186" s="20" t="s">
        <v>265</v>
      </c>
      <c r="B186" s="21" t="s">
        <v>216</v>
      </c>
      <c r="C186" s="22">
        <v>0.5</v>
      </c>
      <c r="D186" s="22">
        <v>9</v>
      </c>
      <c r="E186" s="23">
        <v>2763.5</v>
      </c>
      <c r="F186" s="22"/>
      <c r="G186" s="23">
        <f t="shared" ref="G186:G189" si="82">E186+F186</f>
        <v>2763.5</v>
      </c>
      <c r="H186" s="23"/>
      <c r="I186" s="23"/>
      <c r="J186" s="23"/>
      <c r="K186" s="23">
        <f>G186*0.3</f>
        <v>829.05</v>
      </c>
      <c r="L186" s="23">
        <f>6750-G186-K186</f>
        <v>3157.45</v>
      </c>
      <c r="M186" s="23"/>
      <c r="N186" s="23"/>
      <c r="O186" s="23"/>
      <c r="P186" s="23"/>
      <c r="Q186" s="23"/>
      <c r="R186" s="23">
        <f>G186+K186+L186</f>
        <v>6750</v>
      </c>
      <c r="S186" s="25">
        <f>R186*12</f>
        <v>81000</v>
      </c>
    </row>
    <row r="187" spans="1:20" x14ac:dyDescent="0.25">
      <c r="A187" s="20" t="s">
        <v>266</v>
      </c>
      <c r="B187" s="21" t="s">
        <v>130</v>
      </c>
      <c r="C187" s="22">
        <v>0.25</v>
      </c>
      <c r="D187" s="22">
        <v>3</v>
      </c>
      <c r="E187" s="23">
        <v>942.5</v>
      </c>
      <c r="F187" s="22"/>
      <c r="G187" s="23">
        <f t="shared" si="82"/>
        <v>942.5</v>
      </c>
      <c r="H187" s="23"/>
      <c r="I187" s="23">
        <f>G187*0.1</f>
        <v>94.25</v>
      </c>
      <c r="J187" s="23"/>
      <c r="K187" s="23"/>
      <c r="L187" s="23"/>
      <c r="M187" s="23"/>
      <c r="N187" s="23"/>
      <c r="O187" s="23"/>
      <c r="P187" s="23">
        <f>8000*0.25-G187</f>
        <v>1057.5</v>
      </c>
      <c r="Q187" s="23"/>
      <c r="R187" s="23">
        <f>E187+I187+P187</f>
        <v>2094.25</v>
      </c>
      <c r="S187" s="25">
        <f>R187*12</f>
        <v>25131</v>
      </c>
    </row>
    <row r="188" spans="1:20" s="38" customFormat="1" x14ac:dyDescent="0.25">
      <c r="A188" s="20" t="s">
        <v>267</v>
      </c>
      <c r="B188" s="21" t="s">
        <v>223</v>
      </c>
      <c r="C188" s="22">
        <v>0.5</v>
      </c>
      <c r="D188" s="22">
        <v>1</v>
      </c>
      <c r="E188" s="23">
        <v>1597.5</v>
      </c>
      <c r="F188" s="22"/>
      <c r="G188" s="23">
        <f t="shared" si="82"/>
        <v>1597.5</v>
      </c>
      <c r="H188" s="23"/>
      <c r="I188" s="23"/>
      <c r="J188" s="23"/>
      <c r="K188" s="23"/>
      <c r="L188" s="23"/>
      <c r="M188" s="23"/>
      <c r="N188" s="23"/>
      <c r="O188" s="23"/>
      <c r="P188" s="23">
        <f>8000/2-G188</f>
        <v>2402.5</v>
      </c>
      <c r="Q188" s="23"/>
      <c r="R188" s="23">
        <f>E188+P188</f>
        <v>4000</v>
      </c>
      <c r="S188" s="25">
        <f>R188*6</f>
        <v>24000</v>
      </c>
    </row>
    <row r="189" spans="1:20" s="27" customFormat="1" ht="18.75" customHeight="1" thickBot="1" x14ac:dyDescent="0.3">
      <c r="A189" s="64"/>
      <c r="B189" s="47" t="s">
        <v>55</v>
      </c>
      <c r="C189" s="34">
        <f>C186+C187+C188</f>
        <v>1.25</v>
      </c>
      <c r="D189" s="34"/>
      <c r="E189" s="35">
        <f>E186+E187+E188</f>
        <v>5303.5</v>
      </c>
      <c r="F189" s="34"/>
      <c r="G189" s="35">
        <f t="shared" si="82"/>
        <v>5303.5</v>
      </c>
      <c r="H189" s="35"/>
      <c r="I189" s="35">
        <f>SUM(I186:I187)</f>
        <v>94.25</v>
      </c>
      <c r="J189" s="35"/>
      <c r="K189" s="35">
        <f>SUM(K186:K188)</f>
        <v>829.05</v>
      </c>
      <c r="L189" s="35">
        <f>SUM(L185:L187)</f>
        <v>3157.45</v>
      </c>
      <c r="M189" s="35"/>
      <c r="N189" s="35"/>
      <c r="O189" s="35"/>
      <c r="P189" s="35">
        <f>P187+P188</f>
        <v>3460</v>
      </c>
      <c r="Q189" s="35"/>
      <c r="R189" s="35">
        <f>SUM(R186:R188)</f>
        <v>12844.25</v>
      </c>
      <c r="S189" s="36">
        <f>SUM(S186:S188)</f>
        <v>130131</v>
      </c>
    </row>
    <row r="190" spans="1:20" ht="22.8" customHeight="1" x14ac:dyDescent="0.25">
      <c r="A190" s="57"/>
      <c r="B190" s="111" t="s">
        <v>268</v>
      </c>
      <c r="C190" s="91"/>
      <c r="D190" s="91"/>
      <c r="E190" s="51"/>
      <c r="F190" s="9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97"/>
      <c r="T190" s="65"/>
    </row>
    <row r="191" spans="1:20" x14ac:dyDescent="0.25">
      <c r="A191" s="20" t="s">
        <v>269</v>
      </c>
      <c r="B191" s="21" t="s">
        <v>126</v>
      </c>
      <c r="C191" s="22">
        <v>1</v>
      </c>
      <c r="D191" s="22">
        <v>10</v>
      </c>
      <c r="E191" s="23">
        <v>5815</v>
      </c>
      <c r="F191" s="22"/>
      <c r="G191" s="23">
        <f t="shared" ref="G191:G194" si="83">E191+F191</f>
        <v>5815</v>
      </c>
      <c r="H191" s="23"/>
      <c r="I191" s="23"/>
      <c r="J191" s="23"/>
      <c r="K191" s="23">
        <f>G191*0.3</f>
        <v>1744.5</v>
      </c>
      <c r="L191" s="23">
        <f>13500-G191-K191</f>
        <v>5940.5</v>
      </c>
      <c r="M191" s="23"/>
      <c r="N191" s="23"/>
      <c r="O191" s="23"/>
      <c r="P191" s="23"/>
      <c r="Q191" s="23"/>
      <c r="R191" s="23">
        <f>G191+K191+L191</f>
        <v>13500</v>
      </c>
      <c r="S191" s="25">
        <f>R191*12</f>
        <v>162000</v>
      </c>
    </row>
    <row r="192" spans="1:20" x14ac:dyDescent="0.25">
      <c r="A192" s="20" t="s">
        <v>270</v>
      </c>
      <c r="B192" s="21" t="s">
        <v>130</v>
      </c>
      <c r="C192" s="22">
        <v>0.25</v>
      </c>
      <c r="D192" s="22">
        <v>3</v>
      </c>
      <c r="E192" s="23">
        <v>942.5</v>
      </c>
      <c r="F192" s="22"/>
      <c r="G192" s="23">
        <f t="shared" si="83"/>
        <v>942.5</v>
      </c>
      <c r="H192" s="23"/>
      <c r="I192" s="23">
        <f>G192*0.1</f>
        <v>94.25</v>
      </c>
      <c r="J192" s="23"/>
      <c r="K192" s="23"/>
      <c r="L192" s="23"/>
      <c r="M192" s="23"/>
      <c r="N192" s="23"/>
      <c r="O192" s="23"/>
      <c r="P192" s="23">
        <f>8000*0.25-G192</f>
        <v>1057.5</v>
      </c>
      <c r="Q192" s="23"/>
      <c r="R192" s="23">
        <f>E192+I192+P192</f>
        <v>2094.25</v>
      </c>
      <c r="S192" s="25">
        <f>R192*12</f>
        <v>25131</v>
      </c>
    </row>
    <row r="193" spans="1:19" s="38" customFormat="1" x14ac:dyDescent="0.25">
      <c r="A193" s="20" t="s">
        <v>271</v>
      </c>
      <c r="B193" s="21" t="s">
        <v>263</v>
      </c>
      <c r="C193" s="22">
        <v>0.25</v>
      </c>
      <c r="D193" s="22">
        <v>1</v>
      </c>
      <c r="E193" s="23">
        <v>798.75</v>
      </c>
      <c r="F193" s="22"/>
      <c r="G193" s="23">
        <f t="shared" si="83"/>
        <v>798.75</v>
      </c>
      <c r="H193" s="23"/>
      <c r="I193" s="23"/>
      <c r="J193" s="23"/>
      <c r="K193" s="23"/>
      <c r="L193" s="23"/>
      <c r="M193" s="23"/>
      <c r="N193" s="23"/>
      <c r="O193" s="23"/>
      <c r="P193" s="23">
        <f>8000*0.25-G193</f>
        <v>1201.25</v>
      </c>
      <c r="Q193" s="23"/>
      <c r="R193" s="23">
        <f>E193+P193</f>
        <v>2000</v>
      </c>
      <c r="S193" s="25">
        <f>R193*6</f>
        <v>12000</v>
      </c>
    </row>
    <row r="194" spans="1:19" s="27" customFormat="1" ht="13.8" thickBot="1" x14ac:dyDescent="0.3">
      <c r="A194" s="64"/>
      <c r="B194" s="47" t="s">
        <v>55</v>
      </c>
      <c r="C194" s="34">
        <f>SUM(C191:C193)</f>
        <v>1.5</v>
      </c>
      <c r="D194" s="34"/>
      <c r="E194" s="35">
        <f>SUM(E191:E193)</f>
        <v>7556.25</v>
      </c>
      <c r="F194" s="34">
        <f>SUM(F191:F193)</f>
        <v>0</v>
      </c>
      <c r="G194" s="35">
        <f t="shared" si="83"/>
        <v>7556.25</v>
      </c>
      <c r="H194" s="35"/>
      <c r="I194" s="35">
        <f>SUM(I192:I193)</f>
        <v>94.25</v>
      </c>
      <c r="J194" s="35"/>
      <c r="K194" s="35">
        <f>SUM(K191:K193)</f>
        <v>1744.5</v>
      </c>
      <c r="L194" s="35">
        <f>SUM(L191:L193)</f>
        <v>5940.5</v>
      </c>
      <c r="M194" s="35"/>
      <c r="N194" s="35"/>
      <c r="O194" s="35"/>
      <c r="P194" s="35">
        <f>P192+P193</f>
        <v>2258.75</v>
      </c>
      <c r="Q194" s="35"/>
      <c r="R194" s="35">
        <f>SUM(R191:R193)</f>
        <v>17594.25</v>
      </c>
      <c r="S194" s="36">
        <f>SUM(S191:S193)</f>
        <v>199131</v>
      </c>
    </row>
    <row r="195" spans="1:19" ht="22.2" customHeight="1" x14ac:dyDescent="0.25">
      <c r="A195" s="15"/>
      <c r="B195" s="55" t="s">
        <v>272</v>
      </c>
      <c r="C195" s="85"/>
      <c r="D195" s="85"/>
      <c r="E195" s="94"/>
      <c r="F195" s="85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110"/>
    </row>
    <row r="196" spans="1:19" x14ac:dyDescent="0.25">
      <c r="A196" s="20" t="s">
        <v>273</v>
      </c>
      <c r="B196" s="21" t="s">
        <v>216</v>
      </c>
      <c r="C196" s="22">
        <v>1</v>
      </c>
      <c r="D196" s="22">
        <v>10</v>
      </c>
      <c r="E196" s="23">
        <v>5815</v>
      </c>
      <c r="F196" s="22"/>
      <c r="G196" s="23">
        <f t="shared" ref="G196:G199" si="84">E196+F196</f>
        <v>5815</v>
      </c>
      <c r="H196" s="23"/>
      <c r="I196" s="23"/>
      <c r="J196" s="23"/>
      <c r="K196" s="23">
        <f>G196*0.3</f>
        <v>1744.5</v>
      </c>
      <c r="L196" s="23">
        <f>13500-G196-K196</f>
        <v>5940.5</v>
      </c>
      <c r="M196" s="23"/>
      <c r="N196" s="23"/>
      <c r="O196" s="23"/>
      <c r="P196" s="23"/>
      <c r="Q196" s="23"/>
      <c r="R196" s="23">
        <f>G196+K196+L196</f>
        <v>13500</v>
      </c>
      <c r="S196" s="25">
        <f>R196*12</f>
        <v>162000</v>
      </c>
    </row>
    <row r="197" spans="1:19" x14ac:dyDescent="0.25">
      <c r="A197" s="20" t="s">
        <v>274</v>
      </c>
      <c r="B197" s="21" t="s">
        <v>130</v>
      </c>
      <c r="C197" s="22">
        <v>0.25</v>
      </c>
      <c r="D197" s="22">
        <v>3</v>
      </c>
      <c r="E197" s="23">
        <v>942.5</v>
      </c>
      <c r="F197" s="22"/>
      <c r="G197" s="23">
        <f t="shared" si="84"/>
        <v>942.5</v>
      </c>
      <c r="H197" s="23"/>
      <c r="I197" s="23">
        <f>G197*0.1</f>
        <v>94.25</v>
      </c>
      <c r="J197" s="23"/>
      <c r="K197" s="23"/>
      <c r="L197" s="23"/>
      <c r="M197" s="23"/>
      <c r="N197" s="23"/>
      <c r="O197" s="23"/>
      <c r="P197" s="23">
        <f>8000*0.25-G197</f>
        <v>1057.5</v>
      </c>
      <c r="Q197" s="23"/>
      <c r="R197" s="23">
        <f>E197+I197+P197</f>
        <v>2094.25</v>
      </c>
      <c r="S197" s="25">
        <f>R197*12</f>
        <v>25131</v>
      </c>
    </row>
    <row r="198" spans="1:19" s="38" customFormat="1" x14ac:dyDescent="0.25">
      <c r="A198" s="20" t="s">
        <v>275</v>
      </c>
      <c r="B198" s="21" t="s">
        <v>263</v>
      </c>
      <c r="C198" s="22">
        <v>0.25</v>
      </c>
      <c r="D198" s="22">
        <v>1</v>
      </c>
      <c r="E198" s="23">
        <v>798.75</v>
      </c>
      <c r="F198" s="22"/>
      <c r="G198" s="23">
        <f t="shared" si="84"/>
        <v>798.75</v>
      </c>
      <c r="H198" s="23"/>
      <c r="I198" s="23"/>
      <c r="J198" s="23"/>
      <c r="K198" s="23"/>
      <c r="L198" s="23"/>
      <c r="M198" s="23"/>
      <c r="N198" s="23"/>
      <c r="O198" s="23"/>
      <c r="P198" s="23">
        <f>8000*0.25-G198</f>
        <v>1201.25</v>
      </c>
      <c r="Q198" s="23"/>
      <c r="R198" s="23">
        <f>E198+P198</f>
        <v>2000</v>
      </c>
      <c r="S198" s="25">
        <f>R198*6</f>
        <v>12000</v>
      </c>
    </row>
    <row r="199" spans="1:19" s="27" customFormat="1" ht="13.8" thickBot="1" x14ac:dyDescent="0.3">
      <c r="A199" s="64"/>
      <c r="B199" s="47" t="s">
        <v>55</v>
      </c>
      <c r="C199" s="34">
        <f>SUM(C196:C198)</f>
        <v>1.5</v>
      </c>
      <c r="D199" s="34"/>
      <c r="E199" s="35">
        <f>SUM(E196:E198)</f>
        <v>7556.25</v>
      </c>
      <c r="F199" s="34">
        <f>SUM(F196:F198)</f>
        <v>0</v>
      </c>
      <c r="G199" s="35">
        <f t="shared" si="84"/>
        <v>7556.25</v>
      </c>
      <c r="H199" s="35"/>
      <c r="I199" s="35">
        <f>SUM(I197:I198)</f>
        <v>94.25</v>
      </c>
      <c r="J199" s="35"/>
      <c r="K199" s="35">
        <f>K196</f>
        <v>1744.5</v>
      </c>
      <c r="L199" s="35">
        <f>SUM(L196:L198)</f>
        <v>5940.5</v>
      </c>
      <c r="M199" s="35"/>
      <c r="N199" s="35"/>
      <c r="O199" s="35"/>
      <c r="P199" s="35">
        <f>P197+P198</f>
        <v>2258.75</v>
      </c>
      <c r="Q199" s="35"/>
      <c r="R199" s="35">
        <f>SUM(R196:R198)</f>
        <v>17594.25</v>
      </c>
      <c r="S199" s="36">
        <f>SUM(S196:S198)</f>
        <v>199131</v>
      </c>
    </row>
    <row r="200" spans="1:19" ht="24" customHeight="1" x14ac:dyDescent="0.25">
      <c r="A200" s="15"/>
      <c r="B200" s="55" t="s">
        <v>276</v>
      </c>
      <c r="C200" s="85"/>
      <c r="D200" s="85"/>
      <c r="E200" s="94"/>
      <c r="F200" s="85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110"/>
    </row>
    <row r="201" spans="1:19" x14ac:dyDescent="0.25">
      <c r="A201" s="20" t="s">
        <v>277</v>
      </c>
      <c r="B201" s="21" t="s">
        <v>126</v>
      </c>
      <c r="C201" s="22">
        <v>0.5</v>
      </c>
      <c r="D201" s="22">
        <v>8</v>
      </c>
      <c r="E201" s="23">
        <v>2620</v>
      </c>
      <c r="F201" s="22"/>
      <c r="G201" s="23">
        <f t="shared" ref="G201:G203" si="85">E201+F201</f>
        <v>2620</v>
      </c>
      <c r="H201" s="23"/>
      <c r="I201" s="23"/>
      <c r="J201" s="23"/>
      <c r="K201" s="23">
        <f>G201*0.3</f>
        <v>786</v>
      </c>
      <c r="L201" s="23">
        <f>R201-K201-G201</f>
        <v>3344</v>
      </c>
      <c r="M201" s="23"/>
      <c r="N201" s="23"/>
      <c r="O201" s="23"/>
      <c r="P201" s="23"/>
      <c r="Q201" s="23"/>
      <c r="R201" s="23">
        <v>6750</v>
      </c>
      <c r="S201" s="25">
        <f>R201*12</f>
        <v>81000</v>
      </c>
    </row>
    <row r="202" spans="1:19" s="38" customFormat="1" x14ac:dyDescent="0.25">
      <c r="A202" s="20" t="s">
        <v>278</v>
      </c>
      <c r="B202" s="21" t="s">
        <v>130</v>
      </c>
      <c r="C202" s="22">
        <v>0.5</v>
      </c>
      <c r="D202" s="22">
        <v>3</v>
      </c>
      <c r="E202" s="23">
        <v>1885</v>
      </c>
      <c r="F202" s="22"/>
      <c r="G202" s="23">
        <f t="shared" si="85"/>
        <v>1885</v>
      </c>
      <c r="H202" s="23"/>
      <c r="I202" s="23">
        <f>G202*0.1</f>
        <v>188.5</v>
      </c>
      <c r="J202" s="23"/>
      <c r="K202" s="23"/>
      <c r="L202" s="23"/>
      <c r="M202" s="23"/>
      <c r="N202" s="23"/>
      <c r="O202" s="23"/>
      <c r="P202" s="23">
        <f>8000/2-G202</f>
        <v>2115</v>
      </c>
      <c r="Q202" s="23"/>
      <c r="R202" s="23">
        <f>SUM(G202:Q202)</f>
        <v>4188.5</v>
      </c>
      <c r="S202" s="25">
        <f>R202*12</f>
        <v>50262</v>
      </c>
    </row>
    <row r="203" spans="1:19" s="27" customFormat="1" ht="13.8" thickBot="1" x14ac:dyDescent="0.3">
      <c r="A203" s="64"/>
      <c r="B203" s="47" t="s">
        <v>55</v>
      </c>
      <c r="C203" s="34">
        <f>SUM(C201:C202)</f>
        <v>1</v>
      </c>
      <c r="D203" s="34"/>
      <c r="E203" s="35">
        <f>SUM(E201:E202)</f>
        <v>4505</v>
      </c>
      <c r="F203" s="34">
        <f>SUM(F201:F202)</f>
        <v>0</v>
      </c>
      <c r="G203" s="35">
        <f t="shared" si="85"/>
        <v>4505</v>
      </c>
      <c r="H203" s="35"/>
      <c r="I203" s="35">
        <f>SUM(I202)</f>
        <v>188.5</v>
      </c>
      <c r="J203" s="35"/>
      <c r="K203" s="35">
        <f>SUM(K201:K202)</f>
        <v>786</v>
      </c>
      <c r="L203" s="35">
        <f>SUM(L201:L202)</f>
        <v>3344</v>
      </c>
      <c r="M203" s="35"/>
      <c r="N203" s="35"/>
      <c r="O203" s="35"/>
      <c r="P203" s="35">
        <f>SUM(P202)</f>
        <v>2115</v>
      </c>
      <c r="Q203" s="35"/>
      <c r="R203" s="35">
        <f>SUM(R201:R202)</f>
        <v>10938.5</v>
      </c>
      <c r="S203" s="36">
        <f>SUM(S201:S202)</f>
        <v>131262</v>
      </c>
    </row>
    <row r="204" spans="1:19" ht="18" customHeight="1" x14ac:dyDescent="0.25">
      <c r="A204" s="15"/>
      <c r="B204" s="55" t="s">
        <v>279</v>
      </c>
      <c r="C204" s="85"/>
      <c r="D204" s="85"/>
      <c r="E204" s="94"/>
      <c r="F204" s="85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110"/>
    </row>
    <row r="205" spans="1:19" s="13" customFormat="1" x14ac:dyDescent="0.25">
      <c r="A205" s="20" t="s">
        <v>280</v>
      </c>
      <c r="B205" s="66" t="s">
        <v>126</v>
      </c>
      <c r="C205" s="22">
        <v>0.5</v>
      </c>
      <c r="D205" s="22">
        <v>10</v>
      </c>
      <c r="E205" s="23">
        <v>2907.5</v>
      </c>
      <c r="F205" s="22"/>
      <c r="G205" s="23">
        <f t="shared" ref="G205:G208" si="86">E205+F205</f>
        <v>2907.5</v>
      </c>
      <c r="H205" s="23"/>
      <c r="I205" s="23"/>
      <c r="J205" s="23"/>
      <c r="K205" s="23">
        <f>G205*0.3</f>
        <v>872.25</v>
      </c>
      <c r="L205" s="23">
        <f>13500/2-G205-K205</f>
        <v>2970.25</v>
      </c>
      <c r="M205" s="23"/>
      <c r="N205" s="23"/>
      <c r="O205" s="23"/>
      <c r="P205" s="23"/>
      <c r="Q205" s="23"/>
      <c r="R205" s="23">
        <f>G205+K205+L205</f>
        <v>6750</v>
      </c>
      <c r="S205" s="25">
        <f>R205*12</f>
        <v>81000</v>
      </c>
    </row>
    <row r="206" spans="1:19" x14ac:dyDescent="0.25">
      <c r="A206" s="20" t="s">
        <v>281</v>
      </c>
      <c r="B206" s="21" t="s">
        <v>130</v>
      </c>
      <c r="C206" s="22">
        <v>0.5</v>
      </c>
      <c r="D206" s="22">
        <v>3</v>
      </c>
      <c r="E206" s="23">
        <v>1885</v>
      </c>
      <c r="F206" s="22"/>
      <c r="G206" s="23">
        <f t="shared" si="86"/>
        <v>1885</v>
      </c>
      <c r="H206" s="23"/>
      <c r="I206" s="23">
        <f>G206*0.1</f>
        <v>188.5</v>
      </c>
      <c r="J206" s="23"/>
      <c r="K206" s="23"/>
      <c r="L206" s="23"/>
      <c r="M206" s="23"/>
      <c r="N206" s="23"/>
      <c r="O206" s="23"/>
      <c r="P206" s="23">
        <f>8000/2-G206</f>
        <v>2115</v>
      </c>
      <c r="Q206" s="23"/>
      <c r="R206" s="23">
        <f>SUM(G206:Q206)</f>
        <v>4188.5</v>
      </c>
      <c r="S206" s="25">
        <f>R206*12</f>
        <v>50262</v>
      </c>
    </row>
    <row r="207" spans="1:19" x14ac:dyDescent="0.25">
      <c r="A207" s="20" t="s">
        <v>282</v>
      </c>
      <c r="B207" s="21" t="s">
        <v>223</v>
      </c>
      <c r="C207" s="22">
        <v>1</v>
      </c>
      <c r="D207" s="22">
        <v>1</v>
      </c>
      <c r="E207" s="23">
        <v>3195</v>
      </c>
      <c r="F207" s="22"/>
      <c r="G207" s="23">
        <f t="shared" si="86"/>
        <v>3195</v>
      </c>
      <c r="H207" s="23"/>
      <c r="I207" s="23"/>
      <c r="J207" s="23"/>
      <c r="K207" s="23"/>
      <c r="L207" s="23"/>
      <c r="M207" s="23"/>
      <c r="N207" s="23"/>
      <c r="O207" s="23"/>
      <c r="P207" s="23">
        <f>8000-G207</f>
        <v>4805</v>
      </c>
      <c r="Q207" s="23"/>
      <c r="R207" s="23">
        <f>E207+P207</f>
        <v>8000</v>
      </c>
      <c r="S207" s="25">
        <f>R207*6</f>
        <v>48000</v>
      </c>
    </row>
    <row r="208" spans="1:19" s="49" customFormat="1" ht="16.8" customHeight="1" thickBot="1" x14ac:dyDescent="0.3">
      <c r="A208" s="118"/>
      <c r="B208" s="47" t="s">
        <v>55</v>
      </c>
      <c r="C208" s="34">
        <f>SUM(C205:C207)</f>
        <v>2</v>
      </c>
      <c r="D208" s="34"/>
      <c r="E208" s="35">
        <f>SUM(E205:E207)</f>
        <v>7987.5</v>
      </c>
      <c r="F208" s="34">
        <f>SUM(F205:F207)</f>
        <v>0</v>
      </c>
      <c r="G208" s="35">
        <f t="shared" si="86"/>
        <v>7987.5</v>
      </c>
      <c r="H208" s="35"/>
      <c r="I208" s="35">
        <f>SUM(I206:I207)</f>
        <v>188.5</v>
      </c>
      <c r="J208" s="35"/>
      <c r="K208" s="35">
        <f>SUM(K205:K207)</f>
        <v>872.25</v>
      </c>
      <c r="L208" s="35">
        <f>SUM(L205:L207)</f>
        <v>2970.25</v>
      </c>
      <c r="M208" s="35"/>
      <c r="N208" s="35"/>
      <c r="O208" s="35"/>
      <c r="P208" s="35">
        <f>P206+P207</f>
        <v>6920</v>
      </c>
      <c r="Q208" s="35"/>
      <c r="R208" s="35">
        <f>SUM(R205:R207)</f>
        <v>18938.5</v>
      </c>
      <c r="S208" s="36">
        <f>SUM(S205:S207)</f>
        <v>179262</v>
      </c>
    </row>
    <row r="209" spans="1:20" ht="21" customHeight="1" x14ac:dyDescent="0.25">
      <c r="A209" s="15"/>
      <c r="B209" s="55" t="s">
        <v>283</v>
      </c>
      <c r="C209" s="85"/>
      <c r="D209" s="85"/>
      <c r="E209" s="94"/>
      <c r="F209" s="85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110"/>
    </row>
    <row r="210" spans="1:20" x14ac:dyDescent="0.25">
      <c r="A210" s="20" t="s">
        <v>284</v>
      </c>
      <c r="B210" s="21" t="s">
        <v>216</v>
      </c>
      <c r="C210" s="22">
        <v>1</v>
      </c>
      <c r="D210" s="22">
        <v>10</v>
      </c>
      <c r="E210" s="23">
        <v>5815</v>
      </c>
      <c r="F210" s="22"/>
      <c r="G210" s="23">
        <f t="shared" ref="G210:G214" si="87">E210+F210</f>
        <v>5815</v>
      </c>
      <c r="H210" s="23"/>
      <c r="I210" s="23"/>
      <c r="J210" s="23"/>
      <c r="K210" s="23">
        <f>G210*0.3</f>
        <v>1744.5</v>
      </c>
      <c r="L210" s="23">
        <f>R210-K210-G210</f>
        <v>5940.5</v>
      </c>
      <c r="M210" s="23"/>
      <c r="N210" s="23"/>
      <c r="O210" s="23"/>
      <c r="P210" s="23"/>
      <c r="Q210" s="23"/>
      <c r="R210" s="23">
        <v>13500</v>
      </c>
      <c r="S210" s="25">
        <f>R210*12</f>
        <v>162000</v>
      </c>
    </row>
    <row r="211" spans="1:20" x14ac:dyDescent="0.25">
      <c r="A211" s="20" t="s">
        <v>285</v>
      </c>
      <c r="B211" s="21" t="s">
        <v>126</v>
      </c>
      <c r="C211" s="22">
        <v>1</v>
      </c>
      <c r="D211" s="22">
        <v>7</v>
      </c>
      <c r="E211" s="23">
        <v>4920</v>
      </c>
      <c r="F211" s="22"/>
      <c r="G211" s="23">
        <f t="shared" si="87"/>
        <v>4920</v>
      </c>
      <c r="H211" s="23"/>
      <c r="I211" s="23">
        <f>G211*0.1</f>
        <v>492</v>
      </c>
      <c r="J211" s="23"/>
      <c r="K211" s="23">
        <f>G211*0.3</f>
        <v>1476</v>
      </c>
      <c r="L211" s="23">
        <f>13500-G211-I211-K211</f>
        <v>6612</v>
      </c>
      <c r="M211" s="23"/>
      <c r="N211" s="23"/>
      <c r="O211" s="23"/>
      <c r="P211" s="23"/>
      <c r="Q211" s="23"/>
      <c r="R211" s="23">
        <f>G211+I211+K211+L211</f>
        <v>13500</v>
      </c>
      <c r="S211" s="25">
        <f t="shared" ref="S211:S212" si="88">R211*12</f>
        <v>162000</v>
      </c>
    </row>
    <row r="212" spans="1:20" x14ac:dyDescent="0.25">
      <c r="A212" s="20" t="s">
        <v>286</v>
      </c>
      <c r="B212" s="21" t="s">
        <v>130</v>
      </c>
      <c r="C212" s="22">
        <v>0.5</v>
      </c>
      <c r="D212" s="22">
        <v>3</v>
      </c>
      <c r="E212" s="23">
        <v>1885</v>
      </c>
      <c r="F212" s="22"/>
      <c r="G212" s="23">
        <f t="shared" si="87"/>
        <v>1885</v>
      </c>
      <c r="H212" s="23"/>
      <c r="I212" s="23">
        <f>G212*0.1</f>
        <v>188.5</v>
      </c>
      <c r="J212" s="23"/>
      <c r="K212" s="23"/>
      <c r="L212" s="23"/>
      <c r="M212" s="23"/>
      <c r="N212" s="23"/>
      <c r="O212" s="23"/>
      <c r="P212" s="23">
        <f>8000/2-G212</f>
        <v>2115</v>
      </c>
      <c r="Q212" s="23"/>
      <c r="R212" s="23">
        <f>SUM(G212:Q212)</f>
        <v>4188.5</v>
      </c>
      <c r="S212" s="25">
        <f t="shared" si="88"/>
        <v>50262</v>
      </c>
    </row>
    <row r="213" spans="1:20" x14ac:dyDescent="0.25">
      <c r="A213" s="20" t="s">
        <v>287</v>
      </c>
      <c r="B213" s="21" t="s">
        <v>223</v>
      </c>
      <c r="C213" s="22">
        <v>1.5</v>
      </c>
      <c r="D213" s="22">
        <v>1</v>
      </c>
      <c r="E213" s="23">
        <f>3195*C213</f>
        <v>4792.5</v>
      </c>
      <c r="F213" s="22"/>
      <c r="G213" s="23">
        <f t="shared" si="87"/>
        <v>4792.5</v>
      </c>
      <c r="H213" s="23"/>
      <c r="I213" s="23"/>
      <c r="J213" s="23"/>
      <c r="K213" s="23"/>
      <c r="L213" s="23"/>
      <c r="M213" s="23"/>
      <c r="N213" s="23"/>
      <c r="O213" s="23"/>
      <c r="P213" s="23">
        <f>8000*C213-G213</f>
        <v>7207.5</v>
      </c>
      <c r="Q213" s="23"/>
      <c r="R213" s="23">
        <f>E213+P213</f>
        <v>12000</v>
      </c>
      <c r="S213" s="25">
        <f>R213*6</f>
        <v>72000</v>
      </c>
    </row>
    <row r="214" spans="1:20" s="27" customFormat="1" ht="16.5" customHeight="1" thickBot="1" x14ac:dyDescent="0.3">
      <c r="A214" s="64"/>
      <c r="B214" s="47" t="s">
        <v>55</v>
      </c>
      <c r="C214" s="34">
        <f>SUM(C210:C213)</f>
        <v>4</v>
      </c>
      <c r="D214" s="34"/>
      <c r="E214" s="35">
        <f>SUM(E210:E213)</f>
        <v>17412.5</v>
      </c>
      <c r="F214" s="34">
        <f>SUM(F210:F213)</f>
        <v>0</v>
      </c>
      <c r="G214" s="35">
        <f t="shared" si="87"/>
        <v>17412.5</v>
      </c>
      <c r="H214" s="35"/>
      <c r="I214" s="35">
        <f>SUM(I211:I213)</f>
        <v>680.5</v>
      </c>
      <c r="J214" s="35"/>
      <c r="K214" s="35">
        <f>K210+K211</f>
        <v>3220.5</v>
      </c>
      <c r="L214" s="35">
        <f>L210+L211</f>
        <v>12552.5</v>
      </c>
      <c r="M214" s="35"/>
      <c r="N214" s="35"/>
      <c r="O214" s="35"/>
      <c r="P214" s="35">
        <f>SUM(P210:P213)</f>
        <v>9322.5</v>
      </c>
      <c r="Q214" s="35"/>
      <c r="R214" s="35">
        <f>SUM(R210:R213)</f>
        <v>43188.5</v>
      </c>
      <c r="S214" s="36">
        <f>SUM(S210:S213)</f>
        <v>446262</v>
      </c>
    </row>
    <row r="215" spans="1:20" s="13" customFormat="1" ht="22.2" customHeight="1" x14ac:dyDescent="0.2">
      <c r="A215" s="18"/>
      <c r="B215" s="55" t="s">
        <v>288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x14ac:dyDescent="0.25">
      <c r="A216" s="20" t="s">
        <v>289</v>
      </c>
      <c r="B216" s="21" t="s">
        <v>216</v>
      </c>
      <c r="C216" s="22">
        <v>1</v>
      </c>
      <c r="D216" s="22">
        <v>10</v>
      </c>
      <c r="E216" s="23">
        <v>5815</v>
      </c>
      <c r="F216" s="22"/>
      <c r="G216" s="23">
        <f t="shared" ref="G216:G218" si="89">E216+F216</f>
        <v>5815</v>
      </c>
      <c r="H216" s="23"/>
      <c r="I216" s="23"/>
      <c r="J216" s="23"/>
      <c r="K216" s="23">
        <f>G216*0.3</f>
        <v>1744.5</v>
      </c>
      <c r="L216" s="23">
        <f>R216-K216-G216</f>
        <v>5940.5</v>
      </c>
      <c r="M216" s="23"/>
      <c r="N216" s="23"/>
      <c r="O216" s="23"/>
      <c r="P216" s="23"/>
      <c r="Q216" s="23"/>
      <c r="R216" s="23">
        <v>13500</v>
      </c>
      <c r="S216" s="25">
        <f>R216*12</f>
        <v>162000</v>
      </c>
    </row>
    <row r="217" spans="1:20" s="38" customFormat="1" x14ac:dyDescent="0.25">
      <c r="A217" s="20" t="s">
        <v>290</v>
      </c>
      <c r="B217" s="21" t="s">
        <v>130</v>
      </c>
      <c r="C217" s="22">
        <v>0.5</v>
      </c>
      <c r="D217" s="22">
        <v>3</v>
      </c>
      <c r="E217" s="23">
        <v>1885</v>
      </c>
      <c r="F217" s="22"/>
      <c r="G217" s="23">
        <f t="shared" si="89"/>
        <v>1885</v>
      </c>
      <c r="H217" s="23"/>
      <c r="I217" s="23">
        <f>G217*0.1</f>
        <v>188.5</v>
      </c>
      <c r="J217" s="23"/>
      <c r="K217" s="23"/>
      <c r="L217" s="23"/>
      <c r="M217" s="23"/>
      <c r="N217" s="23"/>
      <c r="O217" s="23"/>
      <c r="P217" s="23">
        <f>8000/2-G217</f>
        <v>2115</v>
      </c>
      <c r="Q217" s="23"/>
      <c r="R217" s="23">
        <f>SUM(G217:Q217)</f>
        <v>4188.5</v>
      </c>
      <c r="S217" s="25">
        <f>R217*12</f>
        <v>50262</v>
      </c>
      <c r="T217" s="46"/>
    </row>
    <row r="218" spans="1:20" s="27" customFormat="1" ht="18" customHeight="1" thickBot="1" x14ac:dyDescent="0.3">
      <c r="A218" s="64"/>
      <c r="B218" s="47" t="s">
        <v>55</v>
      </c>
      <c r="C218" s="34">
        <f>SUM(C216:C217)</f>
        <v>1.5</v>
      </c>
      <c r="D218" s="34"/>
      <c r="E218" s="35">
        <f>SUM(E216:E217)</f>
        <v>7700</v>
      </c>
      <c r="F218" s="34">
        <f>SUM(F216:F217)</f>
        <v>0</v>
      </c>
      <c r="G218" s="35">
        <f t="shared" si="89"/>
        <v>7700</v>
      </c>
      <c r="H218" s="35"/>
      <c r="I218" s="35">
        <f>SUM(I217)</f>
        <v>188.5</v>
      </c>
      <c r="J218" s="35"/>
      <c r="K218" s="35">
        <f>SUM(K216:K217)</f>
        <v>1744.5</v>
      </c>
      <c r="L218" s="35">
        <f>SUM(L216:L217)</f>
        <v>5940.5</v>
      </c>
      <c r="M218" s="35"/>
      <c r="N218" s="35"/>
      <c r="O218" s="35"/>
      <c r="P218" s="35">
        <f>SUM(P217)</f>
        <v>2115</v>
      </c>
      <c r="Q218" s="35"/>
      <c r="R218" s="35">
        <f>SUM(R216:R217)</f>
        <v>17688.5</v>
      </c>
      <c r="S218" s="36">
        <f>SUM(S216:S217)</f>
        <v>212262</v>
      </c>
    </row>
    <row r="219" spans="1:20" ht="22.2" customHeight="1" x14ac:dyDescent="0.25">
      <c r="A219" s="15"/>
      <c r="B219" s="55" t="s">
        <v>291</v>
      </c>
      <c r="C219" s="85"/>
      <c r="D219" s="85"/>
      <c r="E219" s="94"/>
      <c r="F219" s="85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110"/>
    </row>
    <row r="220" spans="1:20" x14ac:dyDescent="0.25">
      <c r="A220" s="20" t="s">
        <v>292</v>
      </c>
      <c r="B220" s="21" t="s">
        <v>126</v>
      </c>
      <c r="C220" s="22">
        <v>0.5</v>
      </c>
      <c r="D220" s="22">
        <v>10</v>
      </c>
      <c r="E220" s="23">
        <v>2907.5</v>
      </c>
      <c r="F220" s="22"/>
      <c r="G220" s="23">
        <f t="shared" ref="G220:G222" si="90">E220+F220</f>
        <v>2907.5</v>
      </c>
      <c r="H220" s="23"/>
      <c r="I220" s="23"/>
      <c r="J220" s="23"/>
      <c r="K220" s="23">
        <f>G220*0.3</f>
        <v>872.25</v>
      </c>
      <c r="L220" s="23">
        <f>13500/2-G220-K220</f>
        <v>2970.25</v>
      </c>
      <c r="M220" s="23"/>
      <c r="N220" s="23"/>
      <c r="O220" s="23"/>
      <c r="P220" s="23"/>
      <c r="Q220" s="23"/>
      <c r="R220" s="23">
        <f>G220+K220+L220</f>
        <v>6750</v>
      </c>
      <c r="S220" s="25">
        <f>R220*12</f>
        <v>81000</v>
      </c>
    </row>
    <row r="221" spans="1:20" s="38" customFormat="1" x14ac:dyDescent="0.25">
      <c r="A221" s="20" t="s">
        <v>293</v>
      </c>
      <c r="B221" s="21" t="s">
        <v>130</v>
      </c>
      <c r="C221" s="22">
        <v>0.25</v>
      </c>
      <c r="D221" s="22">
        <v>3</v>
      </c>
      <c r="E221" s="23">
        <v>942.5</v>
      </c>
      <c r="F221" s="22"/>
      <c r="G221" s="23">
        <f t="shared" si="90"/>
        <v>942.5</v>
      </c>
      <c r="H221" s="23"/>
      <c r="I221" s="23">
        <f>G221*0.1</f>
        <v>94.25</v>
      </c>
      <c r="J221" s="23"/>
      <c r="K221" s="23"/>
      <c r="L221" s="23"/>
      <c r="M221" s="23"/>
      <c r="N221" s="23"/>
      <c r="O221" s="23"/>
      <c r="P221" s="23">
        <f>8000*0.25-G221</f>
        <v>1057.5</v>
      </c>
      <c r="Q221" s="23"/>
      <c r="R221" s="23">
        <f>E221+I221+P221</f>
        <v>2094.25</v>
      </c>
      <c r="S221" s="25">
        <f>R221*12</f>
        <v>25131</v>
      </c>
    </row>
    <row r="222" spans="1:20" s="27" customFormat="1" ht="19.2" customHeight="1" thickBot="1" x14ac:dyDescent="0.3">
      <c r="A222" s="64"/>
      <c r="B222" s="47" t="s">
        <v>55</v>
      </c>
      <c r="C222" s="34">
        <f>SUM(C220:C221)</f>
        <v>0.75</v>
      </c>
      <c r="D222" s="34"/>
      <c r="E222" s="35">
        <f>SUM(E220:E221)</f>
        <v>3850</v>
      </c>
      <c r="F222" s="34">
        <f>SUM(F220:F221)</f>
        <v>0</v>
      </c>
      <c r="G222" s="35">
        <f t="shared" si="90"/>
        <v>3850</v>
      </c>
      <c r="H222" s="35"/>
      <c r="I222" s="35">
        <f>SUM(I221)</f>
        <v>94.25</v>
      </c>
      <c r="J222" s="35"/>
      <c r="K222" s="35">
        <f>SUM(K220:K221)</f>
        <v>872.25</v>
      </c>
      <c r="L222" s="35">
        <f>SUM(L220:L221)</f>
        <v>2970.25</v>
      </c>
      <c r="M222" s="35"/>
      <c r="N222" s="35"/>
      <c r="O222" s="35"/>
      <c r="P222" s="35">
        <f>SUM(P221)</f>
        <v>1057.5</v>
      </c>
      <c r="Q222" s="35"/>
      <c r="R222" s="35">
        <f>SUM(R220:R221)</f>
        <v>8844.25</v>
      </c>
      <c r="S222" s="36">
        <f>SUM(S220:S221)</f>
        <v>106131</v>
      </c>
    </row>
    <row r="223" spans="1:20" ht="21" customHeight="1" x14ac:dyDescent="0.25">
      <c r="A223" s="15"/>
      <c r="B223" s="55" t="s">
        <v>294</v>
      </c>
      <c r="C223" s="85"/>
      <c r="D223" s="85"/>
      <c r="E223" s="94"/>
      <c r="F223" s="85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110"/>
    </row>
    <row r="224" spans="1:20" x14ac:dyDescent="0.25">
      <c r="A224" s="20" t="s">
        <v>295</v>
      </c>
      <c r="B224" s="21" t="s">
        <v>126</v>
      </c>
      <c r="C224" s="22">
        <v>0.5</v>
      </c>
      <c r="D224" s="22">
        <v>10</v>
      </c>
      <c r="E224" s="23">
        <v>2907.5</v>
      </c>
      <c r="F224" s="22"/>
      <c r="G224" s="23">
        <f t="shared" ref="G224:G226" si="91">E224+F224</f>
        <v>2907.5</v>
      </c>
      <c r="H224" s="23"/>
      <c r="I224" s="23"/>
      <c r="J224" s="23"/>
      <c r="K224" s="23">
        <f>G224*0.3</f>
        <v>872.25</v>
      </c>
      <c r="L224" s="23">
        <f>13500/2-G224-K224</f>
        <v>2970.25</v>
      </c>
      <c r="M224" s="23"/>
      <c r="N224" s="23"/>
      <c r="O224" s="23"/>
      <c r="P224" s="23"/>
      <c r="Q224" s="23"/>
      <c r="R224" s="23">
        <f>G224+K224+L224</f>
        <v>6750</v>
      </c>
      <c r="S224" s="25">
        <v>12</v>
      </c>
    </row>
    <row r="225" spans="1:19" s="38" customFormat="1" x14ac:dyDescent="0.25">
      <c r="A225" s="20" t="s">
        <v>296</v>
      </c>
      <c r="B225" s="21" t="s">
        <v>130</v>
      </c>
      <c r="C225" s="22">
        <v>0.25</v>
      </c>
      <c r="D225" s="22">
        <v>3</v>
      </c>
      <c r="E225" s="23">
        <v>942.5</v>
      </c>
      <c r="F225" s="22"/>
      <c r="G225" s="23">
        <f t="shared" si="91"/>
        <v>942.5</v>
      </c>
      <c r="H225" s="23"/>
      <c r="I225" s="23">
        <f>G225*0.1</f>
        <v>94.25</v>
      </c>
      <c r="J225" s="23"/>
      <c r="K225" s="23"/>
      <c r="L225" s="23"/>
      <c r="M225" s="23"/>
      <c r="N225" s="23"/>
      <c r="O225" s="23"/>
      <c r="P225" s="23">
        <f>8000*0.25-G225</f>
        <v>1057.5</v>
      </c>
      <c r="Q225" s="23"/>
      <c r="R225" s="23">
        <f>E225+I225+P225</f>
        <v>2094.25</v>
      </c>
      <c r="S225" s="25">
        <f>R225*12</f>
        <v>25131</v>
      </c>
    </row>
    <row r="226" spans="1:19" s="27" customFormat="1" ht="19.2" customHeight="1" thickBot="1" x14ac:dyDescent="0.3">
      <c r="A226" s="64"/>
      <c r="B226" s="47" t="s">
        <v>55</v>
      </c>
      <c r="C226" s="34">
        <f>SUM(C224:C225)</f>
        <v>0.75</v>
      </c>
      <c r="D226" s="34"/>
      <c r="E226" s="35">
        <f>SUM(E224:E225)</f>
        <v>3850</v>
      </c>
      <c r="F226" s="34">
        <f>SUM(F224:F225)</f>
        <v>0</v>
      </c>
      <c r="G226" s="35">
        <f t="shared" si="91"/>
        <v>3850</v>
      </c>
      <c r="H226" s="35"/>
      <c r="I226" s="35">
        <f>SUM(I225)</f>
        <v>94.25</v>
      </c>
      <c r="J226" s="35"/>
      <c r="K226" s="35">
        <f>SUM(K224:K225)</f>
        <v>872.25</v>
      </c>
      <c r="L226" s="35">
        <f>SUM(L224:L225)</f>
        <v>2970.25</v>
      </c>
      <c r="M226" s="35"/>
      <c r="N226" s="35"/>
      <c r="O226" s="35"/>
      <c r="P226" s="35">
        <f>SUM(P225)</f>
        <v>1057.5</v>
      </c>
      <c r="Q226" s="35"/>
      <c r="R226" s="35">
        <f>SUM(R224:R225)</f>
        <v>8844.25</v>
      </c>
      <c r="S226" s="36">
        <f>SUM(S224:S225)</f>
        <v>25143</v>
      </c>
    </row>
    <row r="227" spans="1:19" s="49" customFormat="1" ht="23.25" customHeight="1" thickBot="1" x14ac:dyDescent="0.3">
      <c r="A227" s="67"/>
      <c r="B227" s="119" t="s">
        <v>297</v>
      </c>
      <c r="C227" s="120">
        <f>C27+C36+C44+C39+C52+C58+C79+C120+C108+C114+C133+C144+C150+C157+C164+C173+C178+C218+C214+C208+C194+C199+C222+C226+C184+C203+C189+C137</f>
        <v>190.5</v>
      </c>
      <c r="D227" s="121"/>
      <c r="E227" s="120">
        <f>E27+E36+E44+E39+E52+E58+E79+E120+E108+E114+E133+E144+E150+E157+E164+E173+E178+E214+E218+E208+E194+E199+E222+E184+E203+E189+E137+E226</f>
        <v>1093723.75</v>
      </c>
      <c r="F227" s="120">
        <f>F27+F36+F44+F39+F58+F79+F120+F108+F114+F133+F144+F150+F157+F164+F173+F178+F214+F218+F208+F194+F199+F222+F184+F203+F189+F137</f>
        <v>31035.075000000001</v>
      </c>
      <c r="G227" s="120">
        <f>G27+G36+G44+G39+G52+G58+G79+G120+G108+G114+G133+G144+G150+G157+G164+G173+G178+G214+G218+G208+G194+G199+G222+G184+G203+G189+G137</f>
        <v>1120908.8250000002</v>
      </c>
      <c r="H227" s="120">
        <f>H27+H137</f>
        <v>23683.75</v>
      </c>
      <c r="I227" s="120">
        <f>I36+I44+I79+I120+I108+I114+I133+I144+I150+I157+I164+I173+I178+I214+I218+I208+I194+I199+I222+I184+I203+I189+I137</f>
        <v>26582.705000000002</v>
      </c>
      <c r="J227" s="120">
        <f>J36+J44+J137</f>
        <v>491.82400000000001</v>
      </c>
      <c r="K227" s="120">
        <f>K27+K52+K58+K79+K120+K108+K114+K133+K144+K150+K157+K164+K173+K178+K214+K218+K208+K194+K199+K222+K184+K203+K189+K137</f>
        <v>221823.78749999998</v>
      </c>
      <c r="L227" s="120">
        <f>L52+L58+L79+L120+L108+L114+L133+L144+L150+L157+L164+L173+L178+L214+L218+L208+L194+L199+L222+L184+L203+L189+L137</f>
        <v>851881.77749999973</v>
      </c>
      <c r="M227" s="120">
        <f>M27</f>
        <v>3750</v>
      </c>
      <c r="N227" s="120">
        <f>N79+N120+N137</f>
        <v>25557.735000000001</v>
      </c>
      <c r="O227" s="120">
        <f>O27+O52+O137</f>
        <v>141900.25</v>
      </c>
      <c r="P227" s="120">
        <f>P36+P44+P39+P52+P58+P79+P120+P108+P114+P133+P144+P150+P157+P164+P173+P178+P214+P218+P208+P194+P199+P222+P184+P203+P189+P137</f>
        <v>251885.75</v>
      </c>
      <c r="Q227" s="120"/>
      <c r="R227" s="120">
        <f>R27+R36+R44+R39+R52+R58+R79+R120+R108+R114+R133+R144+R150+R157+R164+R173+R178+R214+R218+R208+R194+R199+R222+R184+R203+R189+R137+R226</f>
        <v>2677076.3539999998</v>
      </c>
      <c r="S227" s="122">
        <f>S27+S36+S39+S44+S52+S58+S79+S108+S114+S120+S133+S144+S150+S157+S164+S173+S178+S214+S218+S208+S194+S199+S222+S184+S203+S189+S137+S226</f>
        <v>31767928.248</v>
      </c>
    </row>
    <row r="228" spans="1:19" ht="12.6" thickBot="1" x14ac:dyDescent="0.3">
      <c r="F228" s="13"/>
      <c r="I228" s="68"/>
    </row>
    <row r="229" spans="1:19" ht="15.6" customHeight="1" x14ac:dyDescent="0.25">
      <c r="B229" s="69" t="s">
        <v>298</v>
      </c>
      <c r="C229" s="70">
        <f>C46+C47+C54+C55+C56+C61+C62+C63+C64+C65+C66+C116+C117+C81+C82+C83+C84+C85+C86+C87+C97+C92+C88+C93+C89+C72+C95+C94+C91+C90+C98+C96+C99+C110+C111+C126+C122+C127+C128+C139+C146+C152+C159+C166+C167+C168+C175+C134+C67+C68+C69+C70+C71</f>
        <v>49.75</v>
      </c>
      <c r="D229" s="70"/>
      <c r="E229" s="70">
        <f t="shared" ref="E229:S229" si="92">E46+E47+E54+E55+E56+E61+E62+E63+E64+E65+E66+E116+E117+E81+E82+E83+E84+E85+E86+E87+E97+E92+E88+E93+E89+E72+E95+E94+E91+E90+E98+E96+E99+E110+E111+E126+E122+E127+E128+E139+E146+E152+E159+E166+E167+E168+E175+E134+E67+E68+E69+E70+E71</f>
        <v>350251.5</v>
      </c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>
        <f t="shared" si="92"/>
        <v>0</v>
      </c>
      <c r="R229" s="70">
        <f t="shared" si="92"/>
        <v>959000</v>
      </c>
      <c r="S229" s="88">
        <f t="shared" si="92"/>
        <v>11508000</v>
      </c>
    </row>
    <row r="230" spans="1:19" ht="15.6" customHeight="1" x14ac:dyDescent="0.25">
      <c r="B230" s="71" t="s">
        <v>299</v>
      </c>
      <c r="C230" s="72">
        <f>C17+C48+C51+C73+C74+C75+C118+C100+C103+C104+C101+C102+C105+C112+C123+C129+C130+C131+C140+C147+C148+C153+C154+C160+C161+C169+C170+C176+C211+C210+C216+C205+C191+C196+C220+C181+C201+C186+C135+C224</f>
        <v>69</v>
      </c>
      <c r="D230" s="72"/>
      <c r="E230" s="72">
        <f t="shared" ref="E230:S230" si="93">E17+E48+E51+E73+E74+E75+E118+E100+E103+E104+E101+E102+E105+E112+E123+E129+E130+E131+E140+E147+E148+E153+E154+E160+E161+E169+E170+E176+E211+E210+E216+E205+E191+E196+E220+E181+E201+E186+E135+E224</f>
        <v>387386</v>
      </c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>
        <f t="shared" si="93"/>
        <v>0</v>
      </c>
      <c r="R230" s="72">
        <f t="shared" si="93"/>
        <v>940097</v>
      </c>
      <c r="S230" s="89">
        <f t="shared" si="93"/>
        <v>11200176</v>
      </c>
    </row>
    <row r="231" spans="1:19" ht="15.6" customHeight="1" x14ac:dyDescent="0.25">
      <c r="B231" s="71" t="s">
        <v>300</v>
      </c>
      <c r="C231" s="72">
        <f>C76+C77+C119+C107+C113+C132+C141+C149+C155+C162+C171+C177+C212+C217+C206+C192+C197+C221+C182+C202+C187+C225</f>
        <v>26.5</v>
      </c>
      <c r="D231" s="72"/>
      <c r="E231" s="72">
        <f t="shared" ref="E231:S231" si="94">E76+E77+E119+E107+E113+E132+E141+E149+E155+E162+E171+E177+E212+E217+E206+E192+E197+E221+E182+E202+E187+E225</f>
        <v>102641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>
        <f t="shared" si="94"/>
        <v>0</v>
      </c>
      <c r="R231" s="72">
        <f t="shared" si="94"/>
        <v>229368.28</v>
      </c>
      <c r="S231" s="89">
        <f t="shared" si="94"/>
        <v>2752419.3600000003</v>
      </c>
    </row>
    <row r="232" spans="1:19" ht="15.6" customHeight="1" x14ac:dyDescent="0.25">
      <c r="B232" s="71" t="s">
        <v>301</v>
      </c>
      <c r="C232" s="72">
        <f>C14+C15+C16+C18+C19+C20+C21+C22+C23+C24+C25+C26+C29+C30+C31+C32+C33+C34+C35+C41+C42+C43+C38+C49+C50+C57+C78+C106+C142+C143+C156+C163+C172+C213+C207+C193+C198+C183+C188+C136</f>
        <v>45.25</v>
      </c>
      <c r="D232" s="72"/>
      <c r="E232" s="72">
        <f t="shared" ref="E232:S232" si="95">E14+E15+E16+E18+E19+E20+E21+E22+E23+E24+E25+E26+E29+E30+E31+E32+E33+E34+E35+E41+E42+E43+E38+E49+E50+E57+E78+E106+E142+E143+E156+E163+E172+E213+E207+E193+E198+E183+E188+E136</f>
        <v>253445.25</v>
      </c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>
        <f t="shared" si="95"/>
        <v>0</v>
      </c>
      <c r="R232" s="72">
        <f t="shared" si="95"/>
        <v>548611.07400000002</v>
      </c>
      <c r="S232" s="89">
        <f t="shared" si="95"/>
        <v>6307332.8879999993</v>
      </c>
    </row>
    <row r="233" spans="1:19" ht="12.6" thickBot="1" x14ac:dyDescent="0.3">
      <c r="B233" s="73" t="s">
        <v>302</v>
      </c>
      <c r="C233" s="74">
        <f>SUBTOTAL(9,C229:C232)</f>
        <v>190.5</v>
      </c>
      <c r="D233" s="74"/>
      <c r="E233" s="74">
        <f>SUBTOTAL(9,E229:E232)</f>
        <v>1093723.75</v>
      </c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>
        <f t="shared" ref="Q233:S233" si="96">SUBTOTAL(9,Q229:Q232)</f>
        <v>0</v>
      </c>
      <c r="R233" s="75">
        <f>R229+R230+R231+R232</f>
        <v>2677076.3539999998</v>
      </c>
      <c r="S233" s="76">
        <f t="shared" si="96"/>
        <v>31767928.248</v>
      </c>
    </row>
    <row r="234" spans="1:19" ht="19.95" customHeight="1" x14ac:dyDescent="0.25">
      <c r="R234" s="53"/>
    </row>
    <row r="235" spans="1:19" ht="19.2" customHeight="1" x14ac:dyDescent="0.3">
      <c r="B235" s="77" t="s">
        <v>303</v>
      </c>
      <c r="C235" s="78"/>
      <c r="D235" s="78"/>
      <c r="E235" s="79">
        <f>E233</f>
        <v>1093723.75</v>
      </c>
      <c r="G235" s="80"/>
      <c r="H235" s="81"/>
      <c r="I235" s="82"/>
    </row>
    <row r="236" spans="1:19" x14ac:dyDescent="0.25">
      <c r="B236" s="77" t="s">
        <v>304</v>
      </c>
      <c r="E236" s="52">
        <f>S227+E235</f>
        <v>32861651.998</v>
      </c>
    </row>
    <row r="238" spans="1:19" ht="15.6" x14ac:dyDescent="0.3">
      <c r="C238" s="83"/>
      <c r="D238" s="83"/>
      <c r="E238" s="83"/>
      <c r="F238" s="83"/>
      <c r="G238" s="83"/>
      <c r="H238" s="83"/>
      <c r="I238" s="83"/>
      <c r="J238" s="83"/>
    </row>
    <row r="239" spans="1:19" ht="15.6" x14ac:dyDescent="0.3">
      <c r="C239" s="83" t="s">
        <v>308</v>
      </c>
      <c r="D239" s="83"/>
      <c r="E239" s="83"/>
      <c r="F239" s="83"/>
      <c r="G239" s="83"/>
      <c r="H239" s="83"/>
      <c r="I239" s="83"/>
      <c r="J239" s="83"/>
      <c r="K239" s="2" t="s">
        <v>309</v>
      </c>
    </row>
    <row r="240" spans="1:19" ht="15.6" x14ac:dyDescent="0.3">
      <c r="C240" s="83"/>
      <c r="D240" s="83"/>
      <c r="E240" s="83"/>
      <c r="F240" s="83"/>
      <c r="G240" s="83"/>
      <c r="H240" s="83"/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130"/>
      <c r="D242" s="130"/>
      <c r="E242" s="130"/>
      <c r="F242" s="83"/>
      <c r="G242" s="83"/>
      <c r="H242" s="83"/>
      <c r="I242" s="83"/>
      <c r="J242" s="83"/>
    </row>
    <row r="243" spans="3:10" ht="15.6" x14ac:dyDescent="0.3">
      <c r="C243" s="83"/>
      <c r="D243" s="84"/>
      <c r="E243" s="84"/>
      <c r="F243" s="83"/>
      <c r="G243" s="83"/>
      <c r="H243" s="83"/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3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130"/>
      <c r="D248" s="131"/>
      <c r="E248" s="131"/>
      <c r="F248" s="83"/>
      <c r="G248" s="83"/>
      <c r="H248" s="83"/>
      <c r="I248" s="83"/>
      <c r="J248" s="83"/>
    </row>
    <row r="249" spans="3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</sheetData>
  <mergeCells count="29">
    <mergeCell ref="A11:A12"/>
    <mergeCell ref="P11:P12"/>
    <mergeCell ref="Q11:Q12"/>
    <mergeCell ref="R11:R12"/>
    <mergeCell ref="S11:S12"/>
    <mergeCell ref="B11:B12"/>
    <mergeCell ref="C242:E242"/>
    <mergeCell ref="N11:N12"/>
    <mergeCell ref="O11:O12"/>
    <mergeCell ref="C248:E248"/>
    <mergeCell ref="G11:G12"/>
    <mergeCell ref="H11:K11"/>
    <mergeCell ref="L11:L12"/>
    <mergeCell ref="M11:M12"/>
    <mergeCell ref="C11:C12"/>
    <mergeCell ref="D11:D12"/>
    <mergeCell ref="E11:E12"/>
    <mergeCell ref="F11:F12"/>
    <mergeCell ref="M6:S6"/>
    <mergeCell ref="O8:P8"/>
    <mergeCell ref="S8:AH8"/>
    <mergeCell ref="B9:R9"/>
    <mergeCell ref="B10:R10"/>
    <mergeCell ref="B1:S1"/>
    <mergeCell ref="M2:S2"/>
    <mergeCell ref="B3:D3"/>
    <mergeCell ref="M3:S3"/>
    <mergeCell ref="B5:D5"/>
    <mergeCell ref="M5:P5"/>
  </mergeCells>
  <phoneticPr fontId="21" type="noConversion"/>
  <pageMargins left="0" right="0" top="0" bottom="0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KNP</dc:creator>
  <cp:lastModifiedBy>Секретарь</cp:lastModifiedBy>
  <cp:lastPrinted>2025-01-02T11:51:24Z</cp:lastPrinted>
  <dcterms:created xsi:type="dcterms:W3CDTF">2024-12-30T10:00:35Z</dcterms:created>
  <dcterms:modified xsi:type="dcterms:W3CDTF">2025-01-13T12:44:33Z</dcterms:modified>
</cp:coreProperties>
</file>