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lendam\Desktop\Лікарня робота\Робота\"/>
    </mc:Choice>
  </mc:AlternateContent>
  <xr:revisionPtr revIDLastSave="0" documentId="13_ncr:1_{5ED0D927-BBD2-47C7-A16D-448FAF0C687E}" xr6:coauthVersionLast="47" xr6:coauthVersionMax="47" xr10:uidLastSave="{00000000-0000-0000-0000-000000000000}"/>
  <bookViews>
    <workbookView xWindow="0" yWindow="240" windowWidth="23256" windowHeight="12720" firstSheet="8" activeTab="13" xr2:uid="{8273F57E-00E0-4FC9-9F1A-5A3F6AAF62E7}"/>
  </bookViews>
  <sheets>
    <sheet name="01.01.2025" sheetId="1" r:id="rId1"/>
    <sheet name="01.02.2025" sheetId="2" r:id="rId2"/>
    <sheet name="01.03.2025" sheetId="3" r:id="rId3"/>
    <sheet name="01.04.2025" sheetId="4" r:id="rId4"/>
    <sheet name="01.05.2025" sheetId="5" r:id="rId5"/>
    <sheet name="01.06.2025 " sheetId="6" r:id="rId6"/>
    <sheet name="01.07.2025" sheetId="7" r:id="rId7"/>
    <sheet name="01.08.2025 " sheetId="8" r:id="rId8"/>
    <sheet name="01.09.2025 " sheetId="9" r:id="rId9"/>
    <sheet name="01.10.2025" sheetId="10" r:id="rId10"/>
    <sheet name="01.01.2026" sheetId="12" r:id="rId11"/>
    <sheet name="01.04.2026" sheetId="13" r:id="rId12"/>
    <sheet name="01.05.2026 " sheetId="14" r:id="rId13"/>
    <sheet name="01.07.2026  ОТГ" sheetId="16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30" i="16" l="1"/>
  <c r="S229" i="16"/>
  <c r="S226" i="16"/>
  <c r="S223" i="16"/>
  <c r="S222" i="16"/>
  <c r="S217" i="16"/>
  <c r="S218" i="16"/>
  <c r="S216" i="16"/>
  <c r="S212" i="16"/>
  <c r="S211" i="16"/>
  <c r="S208" i="16"/>
  <c r="S207" i="16"/>
  <c r="S203" i="16"/>
  <c r="S202" i="16"/>
  <c r="S198" i="16"/>
  <c r="S197" i="16"/>
  <c r="S193" i="16"/>
  <c r="S192" i="16"/>
  <c r="S189" i="16"/>
  <c r="S188" i="16"/>
  <c r="S187" i="16"/>
  <c r="S182" i="16"/>
  <c r="S183" i="16"/>
  <c r="S181" i="16"/>
  <c r="S173" i="16"/>
  <c r="S174" i="16"/>
  <c r="S175" i="16"/>
  <c r="S176" i="16"/>
  <c r="S177" i="16"/>
  <c r="S178" i="16"/>
  <c r="S172" i="16"/>
  <c r="S166" i="16"/>
  <c r="S167" i="16"/>
  <c r="S168" i="16"/>
  <c r="S169" i="16"/>
  <c r="S165" i="16"/>
  <c r="S159" i="16"/>
  <c r="S160" i="16"/>
  <c r="S161" i="16"/>
  <c r="S162" i="16"/>
  <c r="S158" i="16"/>
  <c r="S153" i="16"/>
  <c r="S154" i="16"/>
  <c r="S155" i="16"/>
  <c r="S152" i="16"/>
  <c r="S149" i="16"/>
  <c r="S146" i="16"/>
  <c r="S147" i="16"/>
  <c r="S145" i="16"/>
  <c r="S142" i="16"/>
  <c r="S141" i="16"/>
  <c r="S133" i="16"/>
  <c r="S134" i="16"/>
  <c r="S135" i="16"/>
  <c r="S136" i="16"/>
  <c r="S137" i="16"/>
  <c r="S138" i="16"/>
  <c r="S132" i="16"/>
  <c r="S129" i="16"/>
  <c r="S128" i="16"/>
  <c r="S123" i="16"/>
  <c r="S124" i="16"/>
  <c r="S125" i="16"/>
  <c r="S122" i="16"/>
  <c r="S119" i="16"/>
  <c r="S118" i="16"/>
  <c r="S113" i="16"/>
  <c r="S114" i="16"/>
  <c r="S115" i="16"/>
  <c r="S112" i="16"/>
  <c r="S84" i="16"/>
  <c r="S85" i="16"/>
  <c r="S86" i="16"/>
  <c r="S87" i="16"/>
  <c r="S88" i="16"/>
  <c r="S89" i="16"/>
  <c r="S90" i="16"/>
  <c r="S91" i="16"/>
  <c r="S92" i="16"/>
  <c r="S93" i="16"/>
  <c r="S94" i="16"/>
  <c r="S95" i="16"/>
  <c r="S96" i="16"/>
  <c r="S97" i="16"/>
  <c r="S98" i="16"/>
  <c r="S99" i="16"/>
  <c r="S100" i="16"/>
  <c r="S101" i="16"/>
  <c r="S102" i="16"/>
  <c r="S103" i="16"/>
  <c r="S104" i="16"/>
  <c r="S105" i="16"/>
  <c r="S106" i="16"/>
  <c r="S107" i="16"/>
  <c r="S108" i="16"/>
  <c r="S109" i="16"/>
  <c r="S83" i="16"/>
  <c r="S65" i="16"/>
  <c r="S66" i="16"/>
  <c r="S67" i="16"/>
  <c r="S68" i="16"/>
  <c r="S69" i="16"/>
  <c r="S70" i="16"/>
  <c r="S71" i="16"/>
  <c r="S72" i="16"/>
  <c r="S73" i="16"/>
  <c r="S74" i="16"/>
  <c r="S75" i="16"/>
  <c r="S76" i="16"/>
  <c r="S77" i="16"/>
  <c r="S78" i="16"/>
  <c r="S79" i="16"/>
  <c r="S80" i="16"/>
  <c r="S64" i="16"/>
  <c r="S58" i="16"/>
  <c r="S59" i="16"/>
  <c r="S60" i="16"/>
  <c r="S57" i="16"/>
  <c r="S49" i="16"/>
  <c r="S50" i="16"/>
  <c r="S51" i="16"/>
  <c r="S52" i="16"/>
  <c r="S53" i="16"/>
  <c r="S54" i="16"/>
  <c r="S48" i="16"/>
  <c r="S44" i="16"/>
  <c r="S45" i="16"/>
  <c r="S43" i="16"/>
  <c r="S40" i="16"/>
  <c r="S30" i="16"/>
  <c r="S31" i="16"/>
  <c r="S32" i="16"/>
  <c r="S33" i="16"/>
  <c r="S34" i="16"/>
  <c r="S35" i="16"/>
  <c r="S36" i="16"/>
  <c r="S37" i="16"/>
  <c r="S29" i="16"/>
  <c r="S15" i="16"/>
  <c r="S16" i="16"/>
  <c r="S17" i="16"/>
  <c r="S18" i="16"/>
  <c r="S19" i="16"/>
  <c r="S20" i="16"/>
  <c r="S21" i="16"/>
  <c r="S22" i="16"/>
  <c r="S23" i="16"/>
  <c r="S24" i="16"/>
  <c r="S25" i="16"/>
  <c r="S26" i="16"/>
  <c r="S14" i="16"/>
  <c r="R234" i="16"/>
  <c r="E234" i="16"/>
  <c r="C234" i="16"/>
  <c r="C237" i="16"/>
  <c r="E52" i="16"/>
  <c r="Q237" i="16"/>
  <c r="Q236" i="16"/>
  <c r="C236" i="16"/>
  <c r="Q235" i="16"/>
  <c r="C235" i="16"/>
  <c r="Q234" i="16"/>
  <c r="F231" i="16"/>
  <c r="C231" i="16"/>
  <c r="E230" i="16"/>
  <c r="E229" i="16"/>
  <c r="F227" i="16"/>
  <c r="C227" i="16"/>
  <c r="E226" i="16"/>
  <c r="F224" i="16"/>
  <c r="C224" i="16"/>
  <c r="E223" i="16"/>
  <c r="E222" i="16"/>
  <c r="F220" i="16"/>
  <c r="C220" i="16"/>
  <c r="E219" i="16"/>
  <c r="E218" i="16"/>
  <c r="E217" i="16"/>
  <c r="E216" i="16"/>
  <c r="F214" i="16"/>
  <c r="C214" i="16"/>
  <c r="E213" i="16"/>
  <c r="E212" i="16"/>
  <c r="E211" i="16"/>
  <c r="F209" i="16"/>
  <c r="C209" i="16"/>
  <c r="E208" i="16"/>
  <c r="E207" i="16"/>
  <c r="F205" i="16"/>
  <c r="C205" i="16"/>
  <c r="E204" i="16"/>
  <c r="E203" i="16"/>
  <c r="E202" i="16"/>
  <c r="F200" i="16"/>
  <c r="C200" i="16"/>
  <c r="E199" i="16"/>
  <c r="E198" i="16"/>
  <c r="E197" i="16"/>
  <c r="C195" i="16"/>
  <c r="E194" i="16"/>
  <c r="E193" i="16"/>
  <c r="E192" i="16"/>
  <c r="C190" i="16"/>
  <c r="E189" i="16"/>
  <c r="E188" i="16"/>
  <c r="E187" i="16"/>
  <c r="M184" i="16"/>
  <c r="C184" i="16"/>
  <c r="E183" i="16"/>
  <c r="E182" i="16"/>
  <c r="E181" i="16"/>
  <c r="O179" i="16"/>
  <c r="C179" i="16"/>
  <c r="E178" i="16"/>
  <c r="E177" i="16"/>
  <c r="E176" i="16"/>
  <c r="E175" i="16"/>
  <c r="E174" i="16"/>
  <c r="E173" i="16"/>
  <c r="E172" i="16"/>
  <c r="O170" i="16"/>
  <c r="C170" i="16"/>
  <c r="E169" i="16"/>
  <c r="E168" i="16"/>
  <c r="E167" i="16"/>
  <c r="E166" i="16"/>
  <c r="E165" i="16"/>
  <c r="O163" i="16"/>
  <c r="M163" i="16"/>
  <c r="C163" i="16"/>
  <c r="E162" i="16"/>
  <c r="E161" i="16"/>
  <c r="E160" i="16"/>
  <c r="E159" i="16"/>
  <c r="E158" i="16"/>
  <c r="O156" i="16"/>
  <c r="M156" i="16"/>
  <c r="C156" i="16"/>
  <c r="E155" i="16"/>
  <c r="E154" i="16"/>
  <c r="E153" i="16"/>
  <c r="E152" i="16"/>
  <c r="C150" i="16"/>
  <c r="E149" i="16"/>
  <c r="E148" i="16"/>
  <c r="E147" i="16"/>
  <c r="E146" i="16"/>
  <c r="E145" i="16"/>
  <c r="C143" i="16"/>
  <c r="N142" i="16"/>
  <c r="E142" i="16"/>
  <c r="N141" i="16"/>
  <c r="E141" i="16"/>
  <c r="O139" i="16"/>
  <c r="M139" i="16"/>
  <c r="C139" i="16"/>
  <c r="E138" i="16"/>
  <c r="E137" i="16"/>
  <c r="E136" i="16"/>
  <c r="E135" i="16"/>
  <c r="E134" i="16"/>
  <c r="E133" i="16"/>
  <c r="E132" i="16"/>
  <c r="S131" i="16"/>
  <c r="S130" i="16"/>
  <c r="E129" i="16"/>
  <c r="E128" i="16"/>
  <c r="C126" i="16"/>
  <c r="N125" i="16"/>
  <c r="E125" i="16"/>
  <c r="N124" i="16"/>
  <c r="E124" i="16"/>
  <c r="E123" i="16"/>
  <c r="E122" i="16"/>
  <c r="E119" i="16"/>
  <c r="E118" i="16"/>
  <c r="C116" i="16"/>
  <c r="E115" i="16"/>
  <c r="E114" i="16"/>
  <c r="E113" i="16"/>
  <c r="E112" i="16"/>
  <c r="C110" i="16"/>
  <c r="E109" i="16"/>
  <c r="E108" i="16"/>
  <c r="E107" i="16"/>
  <c r="E106" i="16"/>
  <c r="E105" i="16"/>
  <c r="E104" i="16"/>
  <c r="E103" i="16"/>
  <c r="E102" i="16"/>
  <c r="E101" i="16"/>
  <c r="E100" i="16"/>
  <c r="E99" i="16"/>
  <c r="E98" i="16"/>
  <c r="E97" i="16"/>
  <c r="E96" i="16"/>
  <c r="E95" i="16"/>
  <c r="E94" i="16"/>
  <c r="E93" i="16"/>
  <c r="E92" i="16"/>
  <c r="E91" i="16"/>
  <c r="E90" i="16"/>
  <c r="E89" i="16"/>
  <c r="E88" i="16"/>
  <c r="E87" i="16"/>
  <c r="E86" i="16"/>
  <c r="E85" i="16"/>
  <c r="E84" i="16"/>
  <c r="E83" i="16"/>
  <c r="C81" i="16"/>
  <c r="E80" i="16"/>
  <c r="E79" i="16"/>
  <c r="N78" i="16"/>
  <c r="E78" i="16"/>
  <c r="E77" i="16"/>
  <c r="N76" i="16"/>
  <c r="E76" i="16"/>
  <c r="E75" i="16"/>
  <c r="N74" i="16"/>
  <c r="E74" i="16"/>
  <c r="E73" i="16"/>
  <c r="E72" i="16"/>
  <c r="E71" i="16"/>
  <c r="E70" i="16"/>
  <c r="N69" i="16"/>
  <c r="E69" i="16"/>
  <c r="E68" i="16"/>
  <c r="E67" i="16"/>
  <c r="E66" i="16"/>
  <c r="E65" i="16"/>
  <c r="E64" i="16"/>
  <c r="Q61" i="16"/>
  <c r="E60" i="16"/>
  <c r="E59" i="16"/>
  <c r="E58" i="16"/>
  <c r="E57" i="16"/>
  <c r="C55" i="16"/>
  <c r="E54" i="16"/>
  <c r="E53" i="16"/>
  <c r="E51" i="16"/>
  <c r="E50" i="16"/>
  <c r="E49" i="16"/>
  <c r="E48" i="16"/>
  <c r="C46" i="16"/>
  <c r="E45" i="16"/>
  <c r="E44" i="16"/>
  <c r="E43" i="16"/>
  <c r="C41" i="16"/>
  <c r="E40" i="16"/>
  <c r="I38" i="16"/>
  <c r="C38" i="16"/>
  <c r="E37" i="16"/>
  <c r="E36" i="16"/>
  <c r="E35" i="16"/>
  <c r="E34" i="16"/>
  <c r="E33" i="16"/>
  <c r="E32" i="16"/>
  <c r="E31" i="16"/>
  <c r="E30" i="16"/>
  <c r="E29" i="16"/>
  <c r="C27" i="16"/>
  <c r="E26" i="16"/>
  <c r="G25" i="16"/>
  <c r="G24" i="16"/>
  <c r="E23" i="16"/>
  <c r="G22" i="16"/>
  <c r="G21" i="16"/>
  <c r="O20" i="16"/>
  <c r="G20" i="16"/>
  <c r="E19" i="16"/>
  <c r="E18" i="16"/>
  <c r="G17" i="16"/>
  <c r="E16" i="16"/>
  <c r="E15" i="16"/>
  <c r="O14" i="16"/>
  <c r="M14" i="16"/>
  <c r="S230" i="14"/>
  <c r="S229" i="14"/>
  <c r="S226" i="14"/>
  <c r="S223" i="14"/>
  <c r="S222" i="14"/>
  <c r="S217" i="14"/>
  <c r="S218" i="14"/>
  <c r="S216" i="14"/>
  <c r="S212" i="14"/>
  <c r="S211" i="14"/>
  <c r="S208" i="14"/>
  <c r="S207" i="14"/>
  <c r="S203" i="14"/>
  <c r="S202" i="14"/>
  <c r="S198" i="14"/>
  <c r="S197" i="14"/>
  <c r="S193" i="14"/>
  <c r="S192" i="14"/>
  <c r="S188" i="14"/>
  <c r="S187" i="14"/>
  <c r="S182" i="14"/>
  <c r="S183" i="14"/>
  <c r="S181" i="14"/>
  <c r="S173" i="14"/>
  <c r="S174" i="14"/>
  <c r="S175" i="14"/>
  <c r="S176" i="14"/>
  <c r="S177" i="14"/>
  <c r="S178" i="14"/>
  <c r="S172" i="14"/>
  <c r="S166" i="14"/>
  <c r="S167" i="14"/>
  <c r="S168" i="14"/>
  <c r="S169" i="14"/>
  <c r="S165" i="14"/>
  <c r="S159" i="14"/>
  <c r="S160" i="14"/>
  <c r="S161" i="14"/>
  <c r="S162" i="14"/>
  <c r="S158" i="14"/>
  <c r="S153" i="14"/>
  <c r="S154" i="14"/>
  <c r="S155" i="14"/>
  <c r="S152" i="14"/>
  <c r="S149" i="14"/>
  <c r="S146" i="14"/>
  <c r="S147" i="14"/>
  <c r="S145" i="14"/>
  <c r="S142" i="14"/>
  <c r="S141" i="14"/>
  <c r="S133" i="14"/>
  <c r="S134" i="14"/>
  <c r="S135" i="14"/>
  <c r="S136" i="14"/>
  <c r="S137" i="14"/>
  <c r="S138" i="14"/>
  <c r="S132" i="14"/>
  <c r="S129" i="14"/>
  <c r="S128" i="14"/>
  <c r="S123" i="14"/>
  <c r="S124" i="14"/>
  <c r="S125" i="14"/>
  <c r="S122" i="14"/>
  <c r="S119" i="14"/>
  <c r="S118" i="14"/>
  <c r="S113" i="14"/>
  <c r="S114" i="14"/>
  <c r="S115" i="14"/>
  <c r="S112" i="14"/>
  <c r="S84" i="14"/>
  <c r="S85" i="14"/>
  <c r="S86" i="14"/>
  <c r="S87" i="14"/>
  <c r="S88" i="14"/>
  <c r="S89" i="14"/>
  <c r="S90" i="14"/>
  <c r="S91" i="14"/>
  <c r="S92" i="14"/>
  <c r="S93" i="14"/>
  <c r="S94" i="14"/>
  <c r="S95" i="14"/>
  <c r="S96" i="14"/>
  <c r="S97" i="14"/>
  <c r="S98" i="14"/>
  <c r="S99" i="14"/>
  <c r="S100" i="14"/>
  <c r="S101" i="14"/>
  <c r="S102" i="14"/>
  <c r="S103" i="14"/>
  <c r="S104" i="14"/>
  <c r="S105" i="14"/>
  <c r="S106" i="14"/>
  <c r="S107" i="14"/>
  <c r="S108" i="14"/>
  <c r="S109" i="14"/>
  <c r="S83" i="14"/>
  <c r="S64" i="14"/>
  <c r="S65" i="14"/>
  <c r="S66" i="14"/>
  <c r="S67" i="14"/>
  <c r="S68" i="14"/>
  <c r="S69" i="14"/>
  <c r="S70" i="14"/>
  <c r="S71" i="14"/>
  <c r="S72" i="14"/>
  <c r="S73" i="14"/>
  <c r="S74" i="14"/>
  <c r="S75" i="14"/>
  <c r="S76" i="14"/>
  <c r="S77" i="14"/>
  <c r="S78" i="14"/>
  <c r="S79" i="14"/>
  <c r="S80" i="14"/>
  <c r="S63" i="14"/>
  <c r="S57" i="14"/>
  <c r="S58" i="14"/>
  <c r="S59" i="14"/>
  <c r="S56" i="14"/>
  <c r="S49" i="14"/>
  <c r="S50" i="14"/>
  <c r="S51" i="14"/>
  <c r="S52" i="14"/>
  <c r="S53" i="14"/>
  <c r="S48" i="14"/>
  <c r="S44" i="14"/>
  <c r="S45" i="14"/>
  <c r="S43" i="14"/>
  <c r="S40" i="14"/>
  <c r="S30" i="14"/>
  <c r="S31" i="14"/>
  <c r="S32" i="14"/>
  <c r="S33" i="14"/>
  <c r="S34" i="14"/>
  <c r="S35" i="14"/>
  <c r="S36" i="14"/>
  <c r="S37" i="14"/>
  <c r="S29" i="14"/>
  <c r="S15" i="14"/>
  <c r="S16" i="14"/>
  <c r="S17" i="14"/>
  <c r="S18" i="14"/>
  <c r="S19" i="14"/>
  <c r="S20" i="14"/>
  <c r="S21" i="14"/>
  <c r="S22" i="14"/>
  <c r="S23" i="14"/>
  <c r="S24" i="14"/>
  <c r="S25" i="14"/>
  <c r="S26" i="14"/>
  <c r="S14" i="14"/>
  <c r="Q237" i="14"/>
  <c r="C237" i="14"/>
  <c r="Q236" i="14"/>
  <c r="C236" i="14"/>
  <c r="Q235" i="14"/>
  <c r="C235" i="14"/>
  <c r="Q234" i="14"/>
  <c r="Q238" i="14" s="1"/>
  <c r="C234" i="14"/>
  <c r="C238" i="14" s="1"/>
  <c r="Q232" i="14"/>
  <c r="F231" i="14"/>
  <c r="C231" i="14"/>
  <c r="E230" i="14"/>
  <c r="E229" i="14"/>
  <c r="F227" i="14"/>
  <c r="C227" i="14"/>
  <c r="E226" i="14"/>
  <c r="F224" i="14"/>
  <c r="C224" i="14"/>
  <c r="E223" i="14"/>
  <c r="G223" i="14" s="1"/>
  <c r="E222" i="14"/>
  <c r="F220" i="14"/>
  <c r="C220" i="14"/>
  <c r="E219" i="14"/>
  <c r="E218" i="14"/>
  <c r="G218" i="14" s="1"/>
  <c r="E217" i="14"/>
  <c r="G217" i="14" s="1"/>
  <c r="E216" i="14"/>
  <c r="F214" i="14"/>
  <c r="C214" i="14"/>
  <c r="E213" i="14"/>
  <c r="E212" i="14"/>
  <c r="G212" i="14" s="1"/>
  <c r="E211" i="14"/>
  <c r="F209" i="14"/>
  <c r="C209" i="14"/>
  <c r="E208" i="14"/>
  <c r="G208" i="14" s="1"/>
  <c r="E207" i="14"/>
  <c r="F205" i="14"/>
  <c r="C205" i="14"/>
  <c r="E204" i="14"/>
  <c r="E203" i="14"/>
  <c r="G202" i="14"/>
  <c r="E202" i="14"/>
  <c r="E205" i="14" s="1"/>
  <c r="G205" i="14" s="1"/>
  <c r="F200" i="14"/>
  <c r="C200" i="14"/>
  <c r="E199" i="14"/>
  <c r="E198" i="14"/>
  <c r="E197" i="14"/>
  <c r="C195" i="14"/>
  <c r="E194" i="14"/>
  <c r="E193" i="14"/>
  <c r="E192" i="14"/>
  <c r="C190" i="14"/>
  <c r="E189" i="14"/>
  <c r="E188" i="14"/>
  <c r="E187" i="14"/>
  <c r="M184" i="14"/>
  <c r="C184" i="14"/>
  <c r="E183" i="14"/>
  <c r="E182" i="14"/>
  <c r="E181" i="14"/>
  <c r="O179" i="14"/>
  <c r="C179" i="14"/>
  <c r="E178" i="14"/>
  <c r="G178" i="14" s="1"/>
  <c r="E177" i="14"/>
  <c r="G177" i="14" s="1"/>
  <c r="E176" i="14"/>
  <c r="G176" i="14" s="1"/>
  <c r="E175" i="14"/>
  <c r="G175" i="14" s="1"/>
  <c r="E174" i="14"/>
  <c r="G174" i="14" s="1"/>
  <c r="E173" i="14"/>
  <c r="G173" i="14" s="1"/>
  <c r="E172" i="14"/>
  <c r="O170" i="14"/>
  <c r="C170" i="14"/>
  <c r="E169" i="14"/>
  <c r="G169" i="14" s="1"/>
  <c r="E168" i="14"/>
  <c r="G168" i="14" s="1"/>
  <c r="E167" i="14"/>
  <c r="G167" i="14" s="1"/>
  <c r="E166" i="14"/>
  <c r="G166" i="14" s="1"/>
  <c r="E165" i="14"/>
  <c r="O163" i="14"/>
  <c r="M163" i="14"/>
  <c r="C163" i="14"/>
  <c r="E162" i="14"/>
  <c r="G162" i="14" s="1"/>
  <c r="E161" i="14"/>
  <c r="G161" i="14" s="1"/>
  <c r="E160" i="14"/>
  <c r="G160" i="14" s="1"/>
  <c r="E159" i="14"/>
  <c r="G159" i="14" s="1"/>
  <c r="E158" i="14"/>
  <c r="O156" i="14"/>
  <c r="M156" i="14"/>
  <c r="C156" i="14"/>
  <c r="E155" i="14"/>
  <c r="G155" i="14" s="1"/>
  <c r="E154" i="14"/>
  <c r="G154" i="14" s="1"/>
  <c r="E153" i="14"/>
  <c r="G153" i="14" s="1"/>
  <c r="E152" i="14"/>
  <c r="C150" i="14"/>
  <c r="E149" i="14"/>
  <c r="G149" i="14" s="1"/>
  <c r="E148" i="14"/>
  <c r="G148" i="14" s="1"/>
  <c r="E147" i="14"/>
  <c r="G147" i="14" s="1"/>
  <c r="E146" i="14"/>
  <c r="G146" i="14" s="1"/>
  <c r="E145" i="14"/>
  <c r="C143" i="14"/>
  <c r="N142" i="14"/>
  <c r="E142" i="14"/>
  <c r="N141" i="14"/>
  <c r="N143" i="14" s="1"/>
  <c r="E141" i="14"/>
  <c r="O139" i="14"/>
  <c r="M139" i="14"/>
  <c r="C139" i="14"/>
  <c r="E138" i="14"/>
  <c r="G138" i="14" s="1"/>
  <c r="E137" i="14"/>
  <c r="G137" i="14" s="1"/>
  <c r="E136" i="14"/>
  <c r="G136" i="14" s="1"/>
  <c r="E135" i="14"/>
  <c r="G135" i="14" s="1"/>
  <c r="E134" i="14"/>
  <c r="G134" i="14" s="1"/>
  <c r="E133" i="14"/>
  <c r="G133" i="14" s="1"/>
  <c r="E132" i="14"/>
  <c r="G132" i="14" s="1"/>
  <c r="S131" i="14"/>
  <c r="S130" i="14"/>
  <c r="E129" i="14"/>
  <c r="E128" i="14"/>
  <c r="E126" i="14"/>
  <c r="C126" i="14"/>
  <c r="P125" i="14"/>
  <c r="P126" i="14" s="1"/>
  <c r="N125" i="14"/>
  <c r="N126" i="14" s="1"/>
  <c r="E125" i="14"/>
  <c r="F125" i="14" s="1"/>
  <c r="G125" i="14" s="1"/>
  <c r="N124" i="14"/>
  <c r="E124" i="14"/>
  <c r="E123" i="14"/>
  <c r="E122" i="14"/>
  <c r="E119" i="14"/>
  <c r="E118" i="14"/>
  <c r="C116" i="14"/>
  <c r="E115" i="14"/>
  <c r="E114" i="14"/>
  <c r="E113" i="14"/>
  <c r="E112" i="14"/>
  <c r="C110" i="14"/>
  <c r="E109" i="14"/>
  <c r="G109" i="14" s="1"/>
  <c r="E108" i="14"/>
  <c r="G108" i="14" s="1"/>
  <c r="E107" i="14"/>
  <c r="E106" i="14"/>
  <c r="G106" i="14" s="1"/>
  <c r="E105" i="14"/>
  <c r="G105" i="14" s="1"/>
  <c r="E104" i="14"/>
  <c r="G104" i="14" s="1"/>
  <c r="E103" i="14"/>
  <c r="E102" i="14"/>
  <c r="G102" i="14" s="1"/>
  <c r="E101" i="14"/>
  <c r="G101" i="14" s="1"/>
  <c r="E100" i="14"/>
  <c r="G100" i="14" s="1"/>
  <c r="E99" i="14"/>
  <c r="G99" i="14" s="1"/>
  <c r="E98" i="14"/>
  <c r="G98" i="14" s="1"/>
  <c r="E97" i="14"/>
  <c r="G97" i="14" s="1"/>
  <c r="E96" i="14"/>
  <c r="G96" i="14" s="1"/>
  <c r="E95" i="14"/>
  <c r="G95" i="14" s="1"/>
  <c r="E94" i="14"/>
  <c r="G94" i="14" s="1"/>
  <c r="E93" i="14"/>
  <c r="G93" i="14" s="1"/>
  <c r="E92" i="14"/>
  <c r="G92" i="14" s="1"/>
  <c r="E91" i="14"/>
  <c r="G91" i="14" s="1"/>
  <c r="E90" i="14"/>
  <c r="E89" i="14"/>
  <c r="E88" i="14"/>
  <c r="G88" i="14" s="1"/>
  <c r="E87" i="14"/>
  <c r="G87" i="14" s="1"/>
  <c r="E86" i="14"/>
  <c r="G86" i="14" s="1"/>
  <c r="E85" i="14"/>
  <c r="E84" i="14"/>
  <c r="G84" i="14" s="1"/>
  <c r="E83" i="14"/>
  <c r="C81" i="14"/>
  <c r="E80" i="14"/>
  <c r="G80" i="14" s="1"/>
  <c r="E79" i="14"/>
  <c r="G79" i="14" s="1"/>
  <c r="N78" i="14"/>
  <c r="E78" i="14"/>
  <c r="E77" i="14"/>
  <c r="G77" i="14" s="1"/>
  <c r="N76" i="14"/>
  <c r="N81" i="14" s="1"/>
  <c r="N232" i="14" s="1"/>
  <c r="E76" i="14"/>
  <c r="G76" i="14" s="1"/>
  <c r="E75" i="14"/>
  <c r="E74" i="14"/>
  <c r="G74" i="14" s="1"/>
  <c r="N73" i="14"/>
  <c r="E73" i="14"/>
  <c r="G73" i="14" s="1"/>
  <c r="E72" i="14"/>
  <c r="G72" i="14" s="1"/>
  <c r="E71" i="14"/>
  <c r="G71" i="14" s="1"/>
  <c r="E70" i="14"/>
  <c r="G70" i="14" s="1"/>
  <c r="E69" i="14"/>
  <c r="G69" i="14" s="1"/>
  <c r="N68" i="14"/>
  <c r="E68" i="14"/>
  <c r="G68" i="14" s="1"/>
  <c r="E67" i="14"/>
  <c r="G67" i="14" s="1"/>
  <c r="E66" i="14"/>
  <c r="G66" i="14" s="1"/>
  <c r="E65" i="14"/>
  <c r="G65" i="14" s="1"/>
  <c r="E64" i="14"/>
  <c r="G64" i="14" s="1"/>
  <c r="E63" i="14"/>
  <c r="Q60" i="14"/>
  <c r="E59" i="14"/>
  <c r="G59" i="14" s="1"/>
  <c r="E58" i="14"/>
  <c r="E57" i="14"/>
  <c r="E56" i="14"/>
  <c r="C54" i="14"/>
  <c r="E53" i="14"/>
  <c r="G53" i="14" s="1"/>
  <c r="E52" i="14"/>
  <c r="G52" i="14" s="1"/>
  <c r="E51" i="14"/>
  <c r="G51" i="14" s="1"/>
  <c r="O51" i="14" s="1"/>
  <c r="E50" i="14"/>
  <c r="G50" i="14" s="1"/>
  <c r="E49" i="14"/>
  <c r="G49" i="14" s="1"/>
  <c r="E48" i="14"/>
  <c r="C46" i="14"/>
  <c r="E45" i="14"/>
  <c r="G45" i="14" s="1"/>
  <c r="E44" i="14"/>
  <c r="G44" i="14" s="1"/>
  <c r="E43" i="14"/>
  <c r="C41" i="14"/>
  <c r="E40" i="14"/>
  <c r="I38" i="14"/>
  <c r="C38" i="14"/>
  <c r="E37" i="14"/>
  <c r="G37" i="14" s="1"/>
  <c r="E36" i="14"/>
  <c r="G36" i="14" s="1"/>
  <c r="E35" i="14"/>
  <c r="E34" i="14"/>
  <c r="G34" i="14" s="1"/>
  <c r="E33" i="14"/>
  <c r="G33" i="14" s="1"/>
  <c r="E32" i="14"/>
  <c r="G32" i="14" s="1"/>
  <c r="E31" i="14"/>
  <c r="E30" i="14"/>
  <c r="G30" i="14" s="1"/>
  <c r="E29" i="14"/>
  <c r="C27" i="14"/>
  <c r="E26" i="14"/>
  <c r="G26" i="14" s="1"/>
  <c r="G25" i="14"/>
  <c r="G24" i="14"/>
  <c r="E23" i="14"/>
  <c r="G23" i="14" s="1"/>
  <c r="G22" i="14"/>
  <c r="G21" i="14"/>
  <c r="O20" i="14"/>
  <c r="G20" i="14"/>
  <c r="E19" i="14"/>
  <c r="E18" i="14"/>
  <c r="G18" i="14" s="1"/>
  <c r="G17" i="14"/>
  <c r="E16" i="14"/>
  <c r="E15" i="14"/>
  <c r="O14" i="14"/>
  <c r="M14" i="14"/>
  <c r="L95" i="13"/>
  <c r="L98" i="13"/>
  <c r="S234" i="16" l="1"/>
  <c r="E237" i="16"/>
  <c r="Q232" i="16"/>
  <c r="G52" i="16"/>
  <c r="Q238" i="16"/>
  <c r="F113" i="16"/>
  <c r="F112" i="16"/>
  <c r="E110" i="16"/>
  <c r="G109" i="16"/>
  <c r="G108" i="16"/>
  <c r="F107" i="16"/>
  <c r="G106" i="16"/>
  <c r="G105" i="16"/>
  <c r="G104" i="16"/>
  <c r="F103" i="16"/>
  <c r="G102" i="16"/>
  <c r="G101" i="16"/>
  <c r="G100" i="16"/>
  <c r="G99" i="16"/>
  <c r="G98" i="16"/>
  <c r="G97" i="16"/>
  <c r="G96" i="16"/>
  <c r="G95" i="16"/>
  <c r="G94" i="16"/>
  <c r="G93" i="16"/>
  <c r="G92" i="16"/>
  <c r="G91" i="16"/>
  <c r="F90" i="16"/>
  <c r="F89" i="16"/>
  <c r="G88" i="16"/>
  <c r="G87" i="16"/>
  <c r="G86" i="16"/>
  <c r="F85" i="16"/>
  <c r="G84" i="16"/>
  <c r="F83" i="16"/>
  <c r="F110" i="16" s="1"/>
  <c r="N81" i="16"/>
  <c r="E81" i="16"/>
  <c r="G80" i="16"/>
  <c r="G79" i="16"/>
  <c r="G78" i="16"/>
  <c r="G77" i="16"/>
  <c r="G76" i="16"/>
  <c r="F75" i="16"/>
  <c r="G74" i="16"/>
  <c r="G73" i="16"/>
  <c r="G72" i="16"/>
  <c r="G71" i="16"/>
  <c r="G70" i="16"/>
  <c r="G69" i="16"/>
  <c r="G68" i="16"/>
  <c r="G67" i="16"/>
  <c r="G66" i="16"/>
  <c r="G65" i="16"/>
  <c r="F64" i="16"/>
  <c r="F81" i="16" s="1"/>
  <c r="E61" i="16"/>
  <c r="G60" i="16"/>
  <c r="F59" i="16"/>
  <c r="F58" i="16"/>
  <c r="F57" i="16"/>
  <c r="F61" i="16" s="1"/>
  <c r="E55" i="16"/>
  <c r="G54" i="16"/>
  <c r="G53" i="16"/>
  <c r="G51" i="16"/>
  <c r="O51" i="16" s="1"/>
  <c r="G50" i="16"/>
  <c r="G49" i="16"/>
  <c r="G48" i="16"/>
  <c r="E46" i="16"/>
  <c r="G45" i="16"/>
  <c r="G44" i="16"/>
  <c r="P43" i="16"/>
  <c r="G43" i="16"/>
  <c r="E41" i="16"/>
  <c r="G41" i="16" s="1"/>
  <c r="G40" i="16"/>
  <c r="E38" i="16"/>
  <c r="G37" i="16"/>
  <c r="G36" i="16"/>
  <c r="P35" i="16"/>
  <c r="F35" i="16"/>
  <c r="F38" i="16" s="1"/>
  <c r="G34" i="16"/>
  <c r="G33" i="16"/>
  <c r="G32" i="16"/>
  <c r="P31" i="16"/>
  <c r="G31" i="16"/>
  <c r="R31" i="16" s="1"/>
  <c r="G30" i="16"/>
  <c r="G29" i="16"/>
  <c r="M27" i="16"/>
  <c r="M232" i="16" s="1"/>
  <c r="E27" i="16"/>
  <c r="G26" i="16"/>
  <c r="O25" i="16"/>
  <c r="H25" i="16"/>
  <c r="O24" i="16"/>
  <c r="H24" i="16"/>
  <c r="G23" i="16"/>
  <c r="O22" i="16"/>
  <c r="H22" i="16"/>
  <c r="O21" i="16"/>
  <c r="H21" i="16"/>
  <c r="H20" i="16"/>
  <c r="O19" i="16"/>
  <c r="G19" i="16"/>
  <c r="G18" i="16"/>
  <c r="O17" i="16"/>
  <c r="K17" i="16"/>
  <c r="H17" i="16"/>
  <c r="R16" i="16"/>
  <c r="G16" i="16"/>
  <c r="R15" i="16"/>
  <c r="G15" i="16"/>
  <c r="G27" i="16" s="1"/>
  <c r="R14" i="16"/>
  <c r="G219" i="16"/>
  <c r="P219" i="16" s="1"/>
  <c r="G217" i="16"/>
  <c r="E214" i="16"/>
  <c r="G214" i="16" s="1"/>
  <c r="G213" i="16"/>
  <c r="P213" i="16" s="1"/>
  <c r="G211" i="16"/>
  <c r="G207" i="16"/>
  <c r="K207" i="16" s="1"/>
  <c r="L207" i="16" s="1"/>
  <c r="L209" i="16" s="1"/>
  <c r="G203" i="16"/>
  <c r="G202" i="16"/>
  <c r="G199" i="16"/>
  <c r="P199" i="16" s="1"/>
  <c r="G198" i="16"/>
  <c r="G197" i="16"/>
  <c r="G194" i="16"/>
  <c r="P194" i="16" s="1"/>
  <c r="G193" i="16"/>
  <c r="G192" i="16"/>
  <c r="E190" i="16"/>
  <c r="G190" i="16" s="1"/>
  <c r="G189" i="16"/>
  <c r="P189" i="16" s="1"/>
  <c r="G187" i="16"/>
  <c r="K187" i="16" s="1"/>
  <c r="E184" i="16"/>
  <c r="G183" i="16"/>
  <c r="G178" i="16"/>
  <c r="G177" i="16"/>
  <c r="G176" i="16"/>
  <c r="G175" i="16"/>
  <c r="G174" i="16"/>
  <c r="G169" i="16"/>
  <c r="G168" i="16"/>
  <c r="G167" i="16"/>
  <c r="G166" i="16"/>
  <c r="F165" i="16"/>
  <c r="F170" i="16" s="1"/>
  <c r="E163" i="16"/>
  <c r="G162" i="16"/>
  <c r="G159" i="16"/>
  <c r="F158" i="16"/>
  <c r="F163" i="16" s="1"/>
  <c r="G154" i="16"/>
  <c r="G153" i="16"/>
  <c r="G146" i="16"/>
  <c r="N143" i="16"/>
  <c r="E143" i="16"/>
  <c r="G141" i="16"/>
  <c r="E139" i="16"/>
  <c r="G137" i="16"/>
  <c r="G136" i="16"/>
  <c r="G135" i="16"/>
  <c r="G134" i="16"/>
  <c r="G133" i="16"/>
  <c r="G132" i="16"/>
  <c r="F128" i="16"/>
  <c r="N126" i="16"/>
  <c r="P125" i="16"/>
  <c r="P126" i="16" s="1"/>
  <c r="F125" i="16"/>
  <c r="F119" i="16"/>
  <c r="F118" i="16"/>
  <c r="F120" i="16" s="1"/>
  <c r="E116" i="16"/>
  <c r="F115" i="16"/>
  <c r="C238" i="16"/>
  <c r="E236" i="16"/>
  <c r="E235" i="16"/>
  <c r="E238" i="16"/>
  <c r="E240" i="16" s="1"/>
  <c r="C232" i="16"/>
  <c r="E231" i="16"/>
  <c r="G231" i="16" s="1"/>
  <c r="G230" i="16"/>
  <c r="G229" i="16"/>
  <c r="E227" i="16"/>
  <c r="G227" i="16" s="1"/>
  <c r="G226" i="16"/>
  <c r="E224" i="16"/>
  <c r="G224" i="16" s="1"/>
  <c r="G223" i="16"/>
  <c r="G222" i="16"/>
  <c r="K222" i="16" s="1"/>
  <c r="E220" i="16"/>
  <c r="G220" i="16" s="1"/>
  <c r="R219" i="16"/>
  <c r="S219" i="16" s="1"/>
  <c r="G218" i="16"/>
  <c r="G216" i="16"/>
  <c r="K216" i="16" s="1"/>
  <c r="G212" i="16"/>
  <c r="K209" i="16"/>
  <c r="E209" i="16"/>
  <c r="G209" i="16" s="1"/>
  <c r="G208" i="16"/>
  <c r="E205" i="16"/>
  <c r="G205" i="16" s="1"/>
  <c r="G204" i="16"/>
  <c r="P204" i="16" s="1"/>
  <c r="E200" i="16"/>
  <c r="G200" i="16" s="1"/>
  <c r="E195" i="16"/>
  <c r="G195" i="16" s="1"/>
  <c r="R194" i="16"/>
  <c r="S194" i="16" s="1"/>
  <c r="G188" i="16"/>
  <c r="G182" i="16"/>
  <c r="F181" i="16"/>
  <c r="F184" i="16" s="1"/>
  <c r="E179" i="16"/>
  <c r="G173" i="16"/>
  <c r="F172" i="16"/>
  <c r="F179" i="16" s="1"/>
  <c r="E170" i="16"/>
  <c r="G165" i="16"/>
  <c r="G161" i="16"/>
  <c r="G160" i="16"/>
  <c r="G158" i="16"/>
  <c r="E156" i="16"/>
  <c r="G155" i="16"/>
  <c r="F152" i="16"/>
  <c r="F156" i="16" s="1"/>
  <c r="E150" i="16"/>
  <c r="G149" i="16"/>
  <c r="G148" i="16"/>
  <c r="G147" i="16"/>
  <c r="F145" i="16"/>
  <c r="F150" i="16" s="1"/>
  <c r="G142" i="16"/>
  <c r="P142" i="16" s="1"/>
  <c r="P143" i="16" s="1"/>
  <c r="G138" i="16"/>
  <c r="F129" i="16"/>
  <c r="G128" i="16"/>
  <c r="E126" i="16"/>
  <c r="G125" i="16"/>
  <c r="F124" i="16"/>
  <c r="F123" i="16"/>
  <c r="F122" i="16"/>
  <c r="F126" i="16" s="1"/>
  <c r="E120" i="16"/>
  <c r="G119" i="16"/>
  <c r="G118" i="16"/>
  <c r="P115" i="16"/>
  <c r="P116" i="16" s="1"/>
  <c r="G115" i="16"/>
  <c r="F114" i="16"/>
  <c r="C232" i="14"/>
  <c r="G230" i="14"/>
  <c r="E231" i="14"/>
  <c r="G231" i="14" s="1"/>
  <c r="G229" i="14"/>
  <c r="E227" i="14"/>
  <c r="G227" i="14" s="1"/>
  <c r="G226" i="14"/>
  <c r="I223" i="14"/>
  <c r="P223" i="14"/>
  <c r="P224" i="14" s="1"/>
  <c r="E224" i="14"/>
  <c r="G224" i="14" s="1"/>
  <c r="G222" i="14"/>
  <c r="K222" i="14" s="1"/>
  <c r="G219" i="14"/>
  <c r="P219" i="14" s="1"/>
  <c r="R219" i="14" s="1"/>
  <c r="S219" i="14" s="1"/>
  <c r="E237" i="14"/>
  <c r="P218" i="14"/>
  <c r="P220" i="14" s="1"/>
  <c r="I218" i="14"/>
  <c r="R218" i="14"/>
  <c r="K217" i="14"/>
  <c r="I217" i="14"/>
  <c r="L217" i="14"/>
  <c r="G216" i="14"/>
  <c r="K216" i="14" s="1"/>
  <c r="E220" i="14"/>
  <c r="G220" i="14" s="1"/>
  <c r="G213" i="14"/>
  <c r="P213" i="14" s="1"/>
  <c r="R213" i="14" s="1"/>
  <c r="S213" i="14" s="1"/>
  <c r="I212" i="14"/>
  <c r="I214" i="14" s="1"/>
  <c r="P212" i="14"/>
  <c r="E214" i="14"/>
  <c r="G214" i="14" s="1"/>
  <c r="G211" i="14"/>
  <c r="P208" i="14"/>
  <c r="P209" i="14" s="1"/>
  <c r="I208" i="14"/>
  <c r="I209" i="14" s="1"/>
  <c r="R208" i="14"/>
  <c r="G207" i="14"/>
  <c r="K207" i="14" s="1"/>
  <c r="E209" i="14"/>
  <c r="G209" i="14" s="1"/>
  <c r="G204" i="14"/>
  <c r="P204" i="14" s="1"/>
  <c r="R204" i="14" s="1"/>
  <c r="S204" i="14" s="1"/>
  <c r="G203" i="14"/>
  <c r="L202" i="14"/>
  <c r="L205" i="14" s="1"/>
  <c r="K202" i="14"/>
  <c r="G199" i="14"/>
  <c r="P199" i="14" s="1"/>
  <c r="R199" i="14" s="1"/>
  <c r="S199" i="14" s="1"/>
  <c r="G198" i="14"/>
  <c r="G197" i="14"/>
  <c r="E200" i="14"/>
  <c r="G200" i="14" s="1"/>
  <c r="G194" i="14"/>
  <c r="P194" i="14" s="1"/>
  <c r="R194" i="14" s="1"/>
  <c r="S194" i="14" s="1"/>
  <c r="G193" i="14"/>
  <c r="E195" i="14"/>
  <c r="G195" i="14" s="1"/>
  <c r="G192" i="14"/>
  <c r="G189" i="14"/>
  <c r="P189" i="14" s="1"/>
  <c r="R189" i="14" s="1"/>
  <c r="S189" i="14" s="1"/>
  <c r="G188" i="14"/>
  <c r="E190" i="14"/>
  <c r="G190" i="14" s="1"/>
  <c r="G187" i="14"/>
  <c r="K187" i="14" s="1"/>
  <c r="G183" i="14"/>
  <c r="E236" i="14"/>
  <c r="E235" i="14"/>
  <c r="G182" i="14"/>
  <c r="F181" i="14"/>
  <c r="F184" i="14" s="1"/>
  <c r="E234" i="14"/>
  <c r="E238" i="14" s="1"/>
  <c r="E240" i="14" s="1"/>
  <c r="E184" i="14"/>
  <c r="G184" i="14" s="1"/>
  <c r="G181" i="14"/>
  <c r="P178" i="14"/>
  <c r="R178" i="14"/>
  <c r="I177" i="14"/>
  <c r="I179" i="14" s="1"/>
  <c r="P177" i="14"/>
  <c r="P179" i="14" s="1"/>
  <c r="R177" i="14"/>
  <c r="K176" i="14"/>
  <c r="L176" i="14"/>
  <c r="R176" i="14" s="1"/>
  <c r="K175" i="14"/>
  <c r="L175" i="14"/>
  <c r="R175" i="14"/>
  <c r="K174" i="14"/>
  <c r="L174" i="14"/>
  <c r="R174" i="14" s="1"/>
  <c r="K173" i="14"/>
  <c r="L173" i="14"/>
  <c r="R173" i="14" s="1"/>
  <c r="E179" i="14"/>
  <c r="G179" i="14" s="1"/>
  <c r="F172" i="14"/>
  <c r="F179" i="14" s="1"/>
  <c r="G172" i="14"/>
  <c r="P169" i="14"/>
  <c r="R169" i="14"/>
  <c r="I168" i="14"/>
  <c r="I170" i="14" s="1"/>
  <c r="P168" i="14"/>
  <c r="P170" i="14" s="1"/>
  <c r="R168" i="14"/>
  <c r="K167" i="14"/>
  <c r="L167" i="14"/>
  <c r="R167" i="14"/>
  <c r="K166" i="14"/>
  <c r="L166" i="14" s="1"/>
  <c r="R166" i="14" s="1"/>
  <c r="F165" i="14"/>
  <c r="E170" i="14"/>
  <c r="P162" i="14"/>
  <c r="R162" i="14"/>
  <c r="I161" i="14"/>
  <c r="I163" i="14" s="1"/>
  <c r="P161" i="14"/>
  <c r="P163" i="14" s="1"/>
  <c r="R161" i="14"/>
  <c r="K160" i="14"/>
  <c r="L160" i="14"/>
  <c r="R160" i="14" s="1"/>
  <c r="K159" i="14"/>
  <c r="E163" i="14"/>
  <c r="F158" i="14"/>
  <c r="I155" i="14"/>
  <c r="I156" i="14" s="1"/>
  <c r="P155" i="14"/>
  <c r="P156" i="14" s="1"/>
  <c r="R155" i="14"/>
  <c r="K154" i="14"/>
  <c r="L154" i="14" s="1"/>
  <c r="R154" i="14" s="1"/>
  <c r="K153" i="14"/>
  <c r="L153" i="14"/>
  <c r="R153" i="14"/>
  <c r="F152" i="14"/>
  <c r="F156" i="14" s="1"/>
  <c r="G152" i="14"/>
  <c r="E156" i="14"/>
  <c r="G156" i="14" s="1"/>
  <c r="P149" i="14"/>
  <c r="R149" i="14"/>
  <c r="P148" i="14"/>
  <c r="R148" i="14"/>
  <c r="S148" i="14" s="1"/>
  <c r="I147" i="14"/>
  <c r="I150" i="14" s="1"/>
  <c r="P147" i="14"/>
  <c r="P150" i="14" s="1"/>
  <c r="R147" i="14"/>
  <c r="K146" i="14"/>
  <c r="L146" i="14"/>
  <c r="R146" i="14"/>
  <c r="F145" i="14"/>
  <c r="E150" i="14"/>
  <c r="G142" i="14"/>
  <c r="P142" i="14" s="1"/>
  <c r="G141" i="14"/>
  <c r="E143" i="14"/>
  <c r="I138" i="14"/>
  <c r="P138" i="14"/>
  <c r="P139" i="14" s="1"/>
  <c r="R138" i="14"/>
  <c r="K137" i="14"/>
  <c r="L137" i="14"/>
  <c r="R137" i="14" s="1"/>
  <c r="K136" i="14"/>
  <c r="L136" i="14"/>
  <c r="R136" i="14" s="1"/>
  <c r="I135" i="14"/>
  <c r="I139" i="14" s="1"/>
  <c r="K135" i="14"/>
  <c r="L135" i="14"/>
  <c r="R135" i="14" s="1"/>
  <c r="K134" i="14"/>
  <c r="L134" i="14"/>
  <c r="R134" i="14"/>
  <c r="K133" i="14"/>
  <c r="L133" i="14"/>
  <c r="R133" i="14"/>
  <c r="K132" i="14"/>
  <c r="L132" i="14"/>
  <c r="R132" i="14" s="1"/>
  <c r="F129" i="14"/>
  <c r="G129" i="14" s="1"/>
  <c r="F128" i="14"/>
  <c r="E139" i="14"/>
  <c r="I125" i="14"/>
  <c r="R125" i="14"/>
  <c r="F124" i="14"/>
  <c r="G124" i="14"/>
  <c r="F123" i="14"/>
  <c r="G123" i="14"/>
  <c r="F122" i="14"/>
  <c r="F119" i="14"/>
  <c r="G119" i="14" s="1"/>
  <c r="E120" i="14"/>
  <c r="F118" i="14"/>
  <c r="P115" i="14"/>
  <c r="P116" i="14" s="1"/>
  <c r="F115" i="14"/>
  <c r="G115" i="14"/>
  <c r="F114" i="14"/>
  <c r="G114" i="14" s="1"/>
  <c r="F113" i="14"/>
  <c r="G113" i="14" s="1"/>
  <c r="E116" i="14"/>
  <c r="F112" i="14"/>
  <c r="I109" i="14"/>
  <c r="P109" i="14"/>
  <c r="R109" i="14" s="1"/>
  <c r="P108" i="14"/>
  <c r="P110" i="14" s="1"/>
  <c r="R108" i="14"/>
  <c r="F107" i="14"/>
  <c r="G107" i="14" s="1"/>
  <c r="I106" i="14"/>
  <c r="K106" i="14"/>
  <c r="L106" i="14"/>
  <c r="R106" i="14"/>
  <c r="K105" i="14"/>
  <c r="L105" i="14"/>
  <c r="R105" i="14" s="1"/>
  <c r="I104" i="14"/>
  <c r="I110" i="14" s="1"/>
  <c r="K104" i="14"/>
  <c r="L104" i="14"/>
  <c r="R104" i="14" s="1"/>
  <c r="F103" i="14"/>
  <c r="G103" i="14" s="1"/>
  <c r="K102" i="14"/>
  <c r="L102" i="14"/>
  <c r="R102" i="14"/>
  <c r="K101" i="14"/>
  <c r="L101" i="14"/>
  <c r="R101" i="14" s="1"/>
  <c r="K100" i="14"/>
  <c r="L100" i="14"/>
  <c r="R100" i="14"/>
  <c r="K99" i="14"/>
  <c r="L99" i="14"/>
  <c r="R99" i="14" s="1"/>
  <c r="K98" i="14"/>
  <c r="L98" i="14"/>
  <c r="R98" i="14"/>
  <c r="K97" i="14"/>
  <c r="L97" i="14"/>
  <c r="R97" i="14" s="1"/>
  <c r="K96" i="14"/>
  <c r="L96" i="14"/>
  <c r="R96" i="14" s="1"/>
  <c r="K95" i="14"/>
  <c r="L95" i="14"/>
  <c r="R95" i="14" s="1"/>
  <c r="K94" i="14"/>
  <c r="L94" i="14"/>
  <c r="R94" i="14" s="1"/>
  <c r="K93" i="14"/>
  <c r="L93" i="14"/>
  <c r="R93" i="14" s="1"/>
  <c r="K92" i="14"/>
  <c r="L92" i="14"/>
  <c r="R92" i="14"/>
  <c r="K91" i="14"/>
  <c r="L91" i="14"/>
  <c r="R91" i="14"/>
  <c r="F90" i="14"/>
  <c r="G90" i="14" s="1"/>
  <c r="F89" i="14"/>
  <c r="G89" i="14"/>
  <c r="K88" i="14"/>
  <c r="L88" i="14"/>
  <c r="R88" i="14" s="1"/>
  <c r="K87" i="14"/>
  <c r="L87" i="14"/>
  <c r="R87" i="14"/>
  <c r="K86" i="14"/>
  <c r="L86" i="14"/>
  <c r="R86" i="14"/>
  <c r="F85" i="14"/>
  <c r="G85" i="14"/>
  <c r="K84" i="14"/>
  <c r="L84" i="14"/>
  <c r="R84" i="14" s="1"/>
  <c r="F83" i="14"/>
  <c r="E110" i="14"/>
  <c r="P80" i="14"/>
  <c r="R80" i="14"/>
  <c r="P79" i="14"/>
  <c r="R79" i="14"/>
  <c r="G78" i="14"/>
  <c r="I77" i="14"/>
  <c r="K77" i="14"/>
  <c r="L77" i="14"/>
  <c r="R77" i="14"/>
  <c r="I76" i="14"/>
  <c r="K76" i="14"/>
  <c r="L76" i="14"/>
  <c r="R76" i="14"/>
  <c r="F75" i="14"/>
  <c r="G75" i="14"/>
  <c r="E81" i="14"/>
  <c r="K74" i="14"/>
  <c r="L74" i="14"/>
  <c r="R74" i="14" s="1"/>
  <c r="K73" i="14"/>
  <c r="L73" i="14"/>
  <c r="R73" i="14"/>
  <c r="K72" i="14"/>
  <c r="L72" i="14"/>
  <c r="R72" i="14" s="1"/>
  <c r="K71" i="14"/>
  <c r="L71" i="14"/>
  <c r="R71" i="14" s="1"/>
  <c r="K70" i="14"/>
  <c r="L70" i="14"/>
  <c r="R70" i="14" s="1"/>
  <c r="K69" i="14"/>
  <c r="L69" i="14"/>
  <c r="R69" i="14" s="1"/>
  <c r="K68" i="14"/>
  <c r="L68" i="14"/>
  <c r="R68" i="14"/>
  <c r="K67" i="14"/>
  <c r="L67" i="14"/>
  <c r="R67" i="14" s="1"/>
  <c r="K66" i="14"/>
  <c r="L66" i="14"/>
  <c r="R66" i="14" s="1"/>
  <c r="K65" i="14"/>
  <c r="L65" i="14"/>
  <c r="R65" i="14" s="1"/>
  <c r="K64" i="14"/>
  <c r="L64" i="14"/>
  <c r="R64" i="14" s="1"/>
  <c r="F63" i="14"/>
  <c r="P59" i="14"/>
  <c r="P60" i="14" s="1"/>
  <c r="R59" i="14"/>
  <c r="F58" i="14"/>
  <c r="G58" i="14" s="1"/>
  <c r="F57" i="14"/>
  <c r="G57" i="14" s="1"/>
  <c r="E60" i="14"/>
  <c r="F56" i="14"/>
  <c r="K53" i="14"/>
  <c r="L53" i="14"/>
  <c r="R53" i="14" s="1"/>
  <c r="P52" i="14"/>
  <c r="P54" i="14" s="1"/>
  <c r="R52" i="14"/>
  <c r="R51" i="14"/>
  <c r="O54" i="14"/>
  <c r="K50" i="14"/>
  <c r="L50" i="14"/>
  <c r="R50" i="14"/>
  <c r="L49" i="14"/>
  <c r="R49" i="14" s="1"/>
  <c r="G48" i="14"/>
  <c r="E54" i="14"/>
  <c r="I45" i="14"/>
  <c r="I46" i="14" s="1"/>
  <c r="P45" i="14"/>
  <c r="R45" i="14"/>
  <c r="J44" i="14"/>
  <c r="J46" i="14" s="1"/>
  <c r="P44" i="14"/>
  <c r="R44" i="14"/>
  <c r="E46" i="14"/>
  <c r="P43" i="14"/>
  <c r="P46" i="14" s="1"/>
  <c r="G43" i="14"/>
  <c r="E41" i="14"/>
  <c r="G41" i="14" s="1"/>
  <c r="G40" i="14"/>
  <c r="P37" i="14"/>
  <c r="R37" i="14"/>
  <c r="P36" i="14"/>
  <c r="R36" i="14"/>
  <c r="P35" i="14"/>
  <c r="F35" i="14"/>
  <c r="P34" i="14"/>
  <c r="R34" i="14"/>
  <c r="P33" i="14"/>
  <c r="R33" i="14"/>
  <c r="P32" i="14"/>
  <c r="R32" i="14"/>
  <c r="G31" i="14"/>
  <c r="R31" i="14" s="1"/>
  <c r="P31" i="14"/>
  <c r="P30" i="14"/>
  <c r="R30" i="14"/>
  <c r="G29" i="14"/>
  <c r="E38" i="14"/>
  <c r="G38" i="14" s="1"/>
  <c r="H26" i="14"/>
  <c r="O26" i="14"/>
  <c r="R26" i="14"/>
  <c r="O25" i="14"/>
  <c r="H25" i="14"/>
  <c r="R25" i="14" s="1"/>
  <c r="O24" i="14"/>
  <c r="H24" i="14"/>
  <c r="R24" i="14" s="1"/>
  <c r="H23" i="14"/>
  <c r="O23" i="14"/>
  <c r="R23" i="14"/>
  <c r="H22" i="14"/>
  <c r="R22" i="14" s="1"/>
  <c r="O22" i="14"/>
  <c r="O21" i="14"/>
  <c r="H21" i="14"/>
  <c r="R21" i="14" s="1"/>
  <c r="R20" i="14"/>
  <c r="H20" i="14"/>
  <c r="O19" i="14"/>
  <c r="G19" i="14"/>
  <c r="O18" i="14"/>
  <c r="R18" i="14" s="1"/>
  <c r="O17" i="14"/>
  <c r="O27" i="14" s="1"/>
  <c r="O232" i="14" s="1"/>
  <c r="K17" i="14"/>
  <c r="H17" i="14"/>
  <c r="G16" i="14"/>
  <c r="R16" i="14"/>
  <c r="R15" i="14"/>
  <c r="E27" i="14"/>
  <c r="E232" i="14" s="1"/>
  <c r="G15" i="14"/>
  <c r="G27" i="14" s="1"/>
  <c r="M27" i="14"/>
  <c r="M232" i="14" s="1"/>
  <c r="R14" i="14"/>
  <c r="C234" i="13"/>
  <c r="C238" i="13"/>
  <c r="S230" i="13"/>
  <c r="S229" i="13"/>
  <c r="S226" i="13"/>
  <c r="S223" i="13"/>
  <c r="S222" i="13"/>
  <c r="S219" i="13"/>
  <c r="S217" i="13"/>
  <c r="S218" i="13"/>
  <c r="S216" i="13"/>
  <c r="S213" i="13"/>
  <c r="S212" i="13"/>
  <c r="S211" i="13"/>
  <c r="S208" i="13"/>
  <c r="S207" i="13"/>
  <c r="S204" i="13"/>
  <c r="S203" i="13"/>
  <c r="S202" i="13"/>
  <c r="S199" i="13"/>
  <c r="S198" i="13"/>
  <c r="S197" i="13"/>
  <c r="S194" i="13"/>
  <c r="S193" i="13"/>
  <c r="S192" i="13"/>
  <c r="S189" i="13"/>
  <c r="S188" i="13"/>
  <c r="S187" i="13"/>
  <c r="S182" i="13"/>
  <c r="S183" i="13"/>
  <c r="S181" i="13"/>
  <c r="S173" i="13"/>
  <c r="S174" i="13"/>
  <c r="S175" i="13"/>
  <c r="S176" i="13"/>
  <c r="S177" i="13"/>
  <c r="S178" i="13"/>
  <c r="S172" i="13"/>
  <c r="S166" i="13"/>
  <c r="S167" i="13"/>
  <c r="S168" i="13"/>
  <c r="S169" i="13"/>
  <c r="S165" i="13"/>
  <c r="S159" i="13"/>
  <c r="S160" i="13"/>
  <c r="S161" i="13"/>
  <c r="S162" i="13"/>
  <c r="S158" i="13"/>
  <c r="S153" i="13"/>
  <c r="S154" i="13"/>
  <c r="S155" i="13"/>
  <c r="S152" i="13"/>
  <c r="S149" i="13"/>
  <c r="S148" i="13"/>
  <c r="S146" i="13"/>
  <c r="S147" i="13"/>
  <c r="S145" i="13"/>
  <c r="S142" i="13"/>
  <c r="S141" i="13"/>
  <c r="S129" i="13"/>
  <c r="S130" i="13"/>
  <c r="S131" i="13"/>
  <c r="S132" i="13"/>
  <c r="S133" i="13"/>
  <c r="S134" i="13"/>
  <c r="S135" i="13"/>
  <c r="S136" i="13"/>
  <c r="S137" i="13"/>
  <c r="S138" i="13"/>
  <c r="S128" i="13"/>
  <c r="S123" i="13"/>
  <c r="S124" i="13"/>
  <c r="S125" i="13"/>
  <c r="S122" i="13"/>
  <c r="S119" i="13"/>
  <c r="S118" i="13"/>
  <c r="S116" i="13"/>
  <c r="S113" i="13"/>
  <c r="S114" i="13"/>
  <c r="S115" i="13"/>
  <c r="S112" i="13"/>
  <c r="S84" i="13"/>
  <c r="S85" i="13"/>
  <c r="S86" i="13"/>
  <c r="S87" i="13"/>
  <c r="S88" i="13"/>
  <c r="S89" i="13"/>
  <c r="S90" i="13"/>
  <c r="S91" i="13"/>
  <c r="S92" i="13"/>
  <c r="S93" i="13"/>
  <c r="S94" i="13"/>
  <c r="S96" i="13"/>
  <c r="S97" i="13"/>
  <c r="S99" i="13"/>
  <c r="S100" i="13"/>
  <c r="S101" i="13"/>
  <c r="S102" i="13"/>
  <c r="S103" i="13"/>
  <c r="S104" i="13"/>
  <c r="S105" i="13"/>
  <c r="S106" i="13"/>
  <c r="S107" i="13"/>
  <c r="S108" i="13"/>
  <c r="S109" i="13"/>
  <c r="S83" i="13"/>
  <c r="L97" i="13"/>
  <c r="Q237" i="13"/>
  <c r="C237" i="13"/>
  <c r="Q236" i="13"/>
  <c r="C236" i="13"/>
  <c r="Q235" i="13"/>
  <c r="C235" i="13"/>
  <c r="Q234" i="13"/>
  <c r="Q238" i="13" s="1"/>
  <c r="F231" i="13"/>
  <c r="C231" i="13"/>
  <c r="E230" i="13"/>
  <c r="G230" i="13" s="1"/>
  <c r="P230" i="13" s="1"/>
  <c r="P231" i="13" s="1"/>
  <c r="E229" i="13"/>
  <c r="F227" i="13"/>
  <c r="C227" i="13"/>
  <c r="G226" i="13"/>
  <c r="E226" i="13"/>
  <c r="E227" i="13" s="1"/>
  <c r="G227" i="13" s="1"/>
  <c r="F224" i="13"/>
  <c r="C224" i="13"/>
  <c r="G223" i="13"/>
  <c r="E223" i="13"/>
  <c r="G222" i="13"/>
  <c r="K222" i="13" s="1"/>
  <c r="E222" i="13"/>
  <c r="E224" i="13" s="1"/>
  <c r="F220" i="13"/>
  <c r="C220" i="13"/>
  <c r="E219" i="13"/>
  <c r="G219" i="13" s="1"/>
  <c r="P219" i="13" s="1"/>
  <c r="E218" i="13"/>
  <c r="G218" i="13" s="1"/>
  <c r="P218" i="13" s="1"/>
  <c r="E217" i="13"/>
  <c r="G217" i="13" s="1"/>
  <c r="E216" i="13"/>
  <c r="G216" i="13" s="1"/>
  <c r="K216" i="13" s="1"/>
  <c r="F214" i="13"/>
  <c r="C214" i="13"/>
  <c r="E213" i="13"/>
  <c r="G213" i="13" s="1"/>
  <c r="P213" i="13" s="1"/>
  <c r="R213" i="13" s="1"/>
  <c r="E212" i="13"/>
  <c r="G212" i="13" s="1"/>
  <c r="G211" i="13"/>
  <c r="E211" i="13"/>
  <c r="E214" i="13" s="1"/>
  <c r="G214" i="13" s="1"/>
  <c r="F209" i="13"/>
  <c r="C209" i="13"/>
  <c r="G208" i="13"/>
  <c r="E208" i="13"/>
  <c r="E207" i="13"/>
  <c r="G207" i="13" s="1"/>
  <c r="K207" i="13" s="1"/>
  <c r="F205" i="13"/>
  <c r="C205" i="13"/>
  <c r="G204" i="13"/>
  <c r="P204" i="13" s="1"/>
  <c r="R204" i="13" s="1"/>
  <c r="E204" i="13"/>
  <c r="E203" i="13"/>
  <c r="G203" i="13" s="1"/>
  <c r="E202" i="13"/>
  <c r="G202" i="13" s="1"/>
  <c r="F200" i="13"/>
  <c r="C200" i="13"/>
  <c r="E199" i="13"/>
  <c r="E198" i="13"/>
  <c r="E197" i="13"/>
  <c r="G197" i="13" s="1"/>
  <c r="C195" i="13"/>
  <c r="E194" i="13"/>
  <c r="E193" i="13"/>
  <c r="G193" i="13" s="1"/>
  <c r="E192" i="13"/>
  <c r="G192" i="13" s="1"/>
  <c r="K192" i="13" s="1"/>
  <c r="K195" i="13" s="1"/>
  <c r="C190" i="13"/>
  <c r="E189" i="13"/>
  <c r="E188" i="13"/>
  <c r="E187" i="13"/>
  <c r="M184" i="13"/>
  <c r="C184" i="13"/>
  <c r="G183" i="13"/>
  <c r="E183" i="13"/>
  <c r="K182" i="13"/>
  <c r="K184" i="13" s="1"/>
  <c r="E182" i="13"/>
  <c r="G182" i="13" s="1"/>
  <c r="E181" i="13"/>
  <c r="E184" i="13" s="1"/>
  <c r="O179" i="13"/>
  <c r="C179" i="13"/>
  <c r="G178" i="13"/>
  <c r="P178" i="13" s="1"/>
  <c r="E178" i="13"/>
  <c r="E177" i="13"/>
  <c r="G177" i="13" s="1"/>
  <c r="P177" i="13" s="1"/>
  <c r="G176" i="13"/>
  <c r="K176" i="13" s="1"/>
  <c r="E176" i="13"/>
  <c r="K175" i="13"/>
  <c r="E175" i="13"/>
  <c r="G175" i="13" s="1"/>
  <c r="L175" i="13" s="1"/>
  <c r="R175" i="13" s="1"/>
  <c r="E174" i="13"/>
  <c r="G174" i="13" s="1"/>
  <c r="E173" i="13"/>
  <c r="E172" i="13"/>
  <c r="O170" i="13"/>
  <c r="C170" i="13"/>
  <c r="E169" i="13"/>
  <c r="G169" i="13" s="1"/>
  <c r="E168" i="13"/>
  <c r="G168" i="13" s="1"/>
  <c r="G167" i="13"/>
  <c r="K167" i="13" s="1"/>
  <c r="E167" i="13"/>
  <c r="G166" i="13"/>
  <c r="K166" i="13" s="1"/>
  <c r="E166" i="13"/>
  <c r="E165" i="13"/>
  <c r="O163" i="13"/>
  <c r="M163" i="13"/>
  <c r="C163" i="13"/>
  <c r="E162" i="13"/>
  <c r="G162" i="13" s="1"/>
  <c r="G161" i="13"/>
  <c r="I161" i="13" s="1"/>
  <c r="I163" i="13" s="1"/>
  <c r="E161" i="13"/>
  <c r="E160" i="13"/>
  <c r="G160" i="13" s="1"/>
  <c r="G159" i="13"/>
  <c r="K159" i="13" s="1"/>
  <c r="E159" i="13"/>
  <c r="F158" i="13"/>
  <c r="F163" i="13" s="1"/>
  <c r="E158" i="13"/>
  <c r="O156" i="13"/>
  <c r="M156" i="13"/>
  <c r="C156" i="13"/>
  <c r="E155" i="13"/>
  <c r="G155" i="13" s="1"/>
  <c r="E154" i="13"/>
  <c r="G153" i="13"/>
  <c r="E153" i="13"/>
  <c r="F152" i="13"/>
  <c r="E152" i="13"/>
  <c r="C150" i="13"/>
  <c r="E149" i="13"/>
  <c r="G149" i="13" s="1"/>
  <c r="G148" i="13"/>
  <c r="E148" i="13"/>
  <c r="P147" i="13"/>
  <c r="G147" i="13"/>
  <c r="I147" i="13" s="1"/>
  <c r="I150" i="13" s="1"/>
  <c r="E147" i="13"/>
  <c r="G146" i="13"/>
  <c r="E146" i="13"/>
  <c r="E145" i="13"/>
  <c r="C143" i="13"/>
  <c r="N142" i="13"/>
  <c r="N143" i="13" s="1"/>
  <c r="E142" i="13"/>
  <c r="G142" i="13" s="1"/>
  <c r="P142" i="13" s="1"/>
  <c r="P143" i="13" s="1"/>
  <c r="N141" i="13"/>
  <c r="G141" i="13"/>
  <c r="E141" i="13"/>
  <c r="E143" i="13" s="1"/>
  <c r="O139" i="13"/>
  <c r="M139" i="13"/>
  <c r="C139" i="13"/>
  <c r="P138" i="13"/>
  <c r="P139" i="13" s="1"/>
  <c r="E138" i="13"/>
  <c r="G138" i="13" s="1"/>
  <c r="G137" i="13"/>
  <c r="E137" i="13"/>
  <c r="E136" i="13"/>
  <c r="G136" i="13" s="1"/>
  <c r="E135" i="13"/>
  <c r="G135" i="13" s="1"/>
  <c r="E134" i="13"/>
  <c r="G134" i="13" s="1"/>
  <c r="E133" i="13"/>
  <c r="G133" i="13" s="1"/>
  <c r="E132" i="13"/>
  <c r="G132" i="13" s="1"/>
  <c r="E129" i="13"/>
  <c r="E128" i="13"/>
  <c r="F128" i="13" s="1"/>
  <c r="C126" i="13"/>
  <c r="N125" i="13"/>
  <c r="E125" i="13"/>
  <c r="N124" i="13"/>
  <c r="N126" i="13" s="1"/>
  <c r="F124" i="13"/>
  <c r="E124" i="13"/>
  <c r="E123" i="13"/>
  <c r="E122" i="13"/>
  <c r="F122" i="13" s="1"/>
  <c r="G119" i="13"/>
  <c r="I119" i="13" s="1"/>
  <c r="E119" i="13"/>
  <c r="F119" i="13" s="1"/>
  <c r="E118" i="13"/>
  <c r="F118" i="13" s="1"/>
  <c r="C116" i="13"/>
  <c r="E115" i="13"/>
  <c r="E114" i="13"/>
  <c r="E113" i="13"/>
  <c r="F113" i="13" s="1"/>
  <c r="G113" i="13" s="1"/>
  <c r="E112" i="13"/>
  <c r="F112" i="13" s="1"/>
  <c r="C110" i="13"/>
  <c r="P109" i="13"/>
  <c r="I109" i="13"/>
  <c r="E109" i="13"/>
  <c r="G109" i="13" s="1"/>
  <c r="E108" i="13"/>
  <c r="G108" i="13" s="1"/>
  <c r="P108" i="13" s="1"/>
  <c r="P110" i="13" s="1"/>
  <c r="E107" i="13"/>
  <c r="F107" i="13" s="1"/>
  <c r="G107" i="13" s="1"/>
  <c r="G106" i="13"/>
  <c r="E106" i="13"/>
  <c r="G105" i="13"/>
  <c r="K105" i="13" s="1"/>
  <c r="E105" i="13"/>
  <c r="E104" i="13"/>
  <c r="G104" i="13" s="1"/>
  <c r="F103" i="13"/>
  <c r="G103" i="13" s="1"/>
  <c r="E103" i="13"/>
  <c r="E102" i="13"/>
  <c r="G102" i="13" s="1"/>
  <c r="E101" i="13"/>
  <c r="G101" i="13" s="1"/>
  <c r="E100" i="13"/>
  <c r="G100" i="13" s="1"/>
  <c r="G99" i="13"/>
  <c r="K99" i="13" s="1"/>
  <c r="E99" i="13"/>
  <c r="E98" i="13"/>
  <c r="G98" i="13" s="1"/>
  <c r="K98" i="13" s="1"/>
  <c r="E97" i="13"/>
  <c r="G97" i="13" s="1"/>
  <c r="K97" i="13" s="1"/>
  <c r="G96" i="13"/>
  <c r="E96" i="13"/>
  <c r="E95" i="13"/>
  <c r="G95" i="13" s="1"/>
  <c r="K95" i="13" s="1"/>
  <c r="E94" i="13"/>
  <c r="G94" i="13" s="1"/>
  <c r="E93" i="13"/>
  <c r="G93" i="13" s="1"/>
  <c r="G92" i="13"/>
  <c r="E92" i="13"/>
  <c r="E91" i="13"/>
  <c r="G91" i="13" s="1"/>
  <c r="K91" i="13" s="1"/>
  <c r="E90" i="13"/>
  <c r="F89" i="13"/>
  <c r="E89" i="13"/>
  <c r="G89" i="13" s="1"/>
  <c r="L88" i="13"/>
  <c r="E88" i="13"/>
  <c r="G88" i="13" s="1"/>
  <c r="K88" i="13" s="1"/>
  <c r="G87" i="13"/>
  <c r="E87" i="13"/>
  <c r="E86" i="13"/>
  <c r="G86" i="13" s="1"/>
  <c r="K86" i="13" s="1"/>
  <c r="E85" i="13"/>
  <c r="E84" i="13"/>
  <c r="G84" i="13" s="1"/>
  <c r="E83" i="13"/>
  <c r="C81" i="13"/>
  <c r="E80" i="13"/>
  <c r="G80" i="13" s="1"/>
  <c r="E79" i="13"/>
  <c r="G79" i="13" s="1"/>
  <c r="N78" i="13"/>
  <c r="E78" i="13"/>
  <c r="G77" i="13"/>
  <c r="K77" i="13" s="1"/>
  <c r="E77" i="13"/>
  <c r="N76" i="13"/>
  <c r="G76" i="13"/>
  <c r="I76" i="13" s="1"/>
  <c r="E76" i="13"/>
  <c r="F75" i="13"/>
  <c r="E75" i="13"/>
  <c r="E74" i="13"/>
  <c r="G74" i="13" s="1"/>
  <c r="K74" i="13" s="1"/>
  <c r="L74" i="13" s="1"/>
  <c r="N73" i="13"/>
  <c r="E73" i="13"/>
  <c r="G73" i="13" s="1"/>
  <c r="E72" i="13"/>
  <c r="G72" i="13" s="1"/>
  <c r="G71" i="13"/>
  <c r="K71" i="13" s="1"/>
  <c r="E71" i="13"/>
  <c r="K70" i="13"/>
  <c r="L70" i="13" s="1"/>
  <c r="R70" i="13" s="1"/>
  <c r="S70" i="13" s="1"/>
  <c r="E70" i="13"/>
  <c r="G70" i="13" s="1"/>
  <c r="E69" i="13"/>
  <c r="G69" i="13" s="1"/>
  <c r="N68" i="13"/>
  <c r="G68" i="13"/>
  <c r="K68" i="13" s="1"/>
  <c r="E68" i="13"/>
  <c r="E67" i="13"/>
  <c r="G67" i="13" s="1"/>
  <c r="K67" i="13" s="1"/>
  <c r="E66" i="13"/>
  <c r="G66" i="13" s="1"/>
  <c r="K66" i="13" s="1"/>
  <c r="E65" i="13"/>
  <c r="G65" i="13" s="1"/>
  <c r="E64" i="13"/>
  <c r="G64" i="13" s="1"/>
  <c r="E63" i="13"/>
  <c r="Q60" i="13"/>
  <c r="Q232" i="13" s="1"/>
  <c r="E59" i="13"/>
  <c r="G59" i="13" s="1"/>
  <c r="F58" i="13"/>
  <c r="G58" i="13" s="1"/>
  <c r="E58" i="13"/>
  <c r="E57" i="13"/>
  <c r="F57" i="13" s="1"/>
  <c r="G57" i="13" s="1"/>
  <c r="E56" i="13"/>
  <c r="E60" i="13" s="1"/>
  <c r="C54" i="13"/>
  <c r="E53" i="13"/>
  <c r="G53" i="13" s="1"/>
  <c r="E52" i="13"/>
  <c r="G52" i="13" s="1"/>
  <c r="E51" i="13"/>
  <c r="G51" i="13" s="1"/>
  <c r="O51" i="13" s="1"/>
  <c r="E50" i="13"/>
  <c r="E49" i="13"/>
  <c r="E54" i="13" s="1"/>
  <c r="E48" i="13"/>
  <c r="G48" i="13" s="1"/>
  <c r="C46" i="13"/>
  <c r="G45" i="13"/>
  <c r="P45" i="13" s="1"/>
  <c r="E45" i="13"/>
  <c r="E44" i="13"/>
  <c r="G44" i="13" s="1"/>
  <c r="P44" i="13" s="1"/>
  <c r="E43" i="13"/>
  <c r="C41" i="13"/>
  <c r="E40" i="13"/>
  <c r="G40" i="13" s="1"/>
  <c r="P40" i="13" s="1"/>
  <c r="I38" i="13"/>
  <c r="C38" i="13"/>
  <c r="E37" i="13"/>
  <c r="G37" i="13" s="1"/>
  <c r="E36" i="13"/>
  <c r="G36" i="13" s="1"/>
  <c r="F35" i="13"/>
  <c r="F38" i="13" s="1"/>
  <c r="E35" i="13"/>
  <c r="E34" i="13"/>
  <c r="G34" i="13" s="1"/>
  <c r="E33" i="13"/>
  <c r="G33" i="13" s="1"/>
  <c r="P33" i="13" s="1"/>
  <c r="R33" i="13" s="1"/>
  <c r="S33" i="13" s="1"/>
  <c r="E32" i="13"/>
  <c r="G32" i="13" s="1"/>
  <c r="G31" i="13"/>
  <c r="R31" i="13" s="1"/>
  <c r="S31" i="13" s="1"/>
  <c r="E31" i="13"/>
  <c r="P31" i="13" s="1"/>
  <c r="E30" i="13"/>
  <c r="G30" i="13" s="1"/>
  <c r="E29" i="13"/>
  <c r="C27" i="13"/>
  <c r="E26" i="13"/>
  <c r="G26" i="13" s="1"/>
  <c r="G25" i="13"/>
  <c r="G24" i="13"/>
  <c r="O24" i="13" s="1"/>
  <c r="E23" i="13"/>
  <c r="G23" i="13" s="1"/>
  <c r="O22" i="13"/>
  <c r="G22" i="13"/>
  <c r="H22" i="13" s="1"/>
  <c r="G21" i="13"/>
  <c r="O21" i="13" s="1"/>
  <c r="O20" i="13"/>
  <c r="G20" i="13"/>
  <c r="H20" i="13" s="1"/>
  <c r="R20" i="13" s="1"/>
  <c r="S20" i="13" s="1"/>
  <c r="O19" i="13"/>
  <c r="G19" i="13"/>
  <c r="E19" i="13"/>
  <c r="E18" i="13"/>
  <c r="G18" i="13" s="1"/>
  <c r="G17" i="13"/>
  <c r="O17" i="13" s="1"/>
  <c r="E16" i="13"/>
  <c r="G16" i="13" s="1"/>
  <c r="E15" i="13"/>
  <c r="E27" i="13" s="1"/>
  <c r="O14" i="13"/>
  <c r="M14" i="13"/>
  <c r="M27" i="13" s="1"/>
  <c r="E231" i="12"/>
  <c r="E230" i="12"/>
  <c r="E227" i="12"/>
  <c r="E224" i="12"/>
  <c r="E223" i="12"/>
  <c r="E220" i="12"/>
  <c r="E219" i="12"/>
  <c r="E218" i="12"/>
  <c r="E217" i="12"/>
  <c r="E214" i="12"/>
  <c r="E213" i="12"/>
  <c r="E212" i="12"/>
  <c r="E209" i="12"/>
  <c r="E208" i="12"/>
  <c r="E205" i="12"/>
  <c r="E204" i="12"/>
  <c r="E203" i="12"/>
  <c r="E200" i="12"/>
  <c r="E199" i="12"/>
  <c r="E198" i="12"/>
  <c r="E195" i="12"/>
  <c r="E194" i="12"/>
  <c r="E193" i="12"/>
  <c r="E190" i="12"/>
  <c r="E189" i="12"/>
  <c r="E188" i="12"/>
  <c r="E184" i="12"/>
  <c r="E183" i="12"/>
  <c r="E182" i="12"/>
  <c r="E179" i="12"/>
  <c r="E178" i="12"/>
  <c r="E176" i="12"/>
  <c r="E175" i="12"/>
  <c r="E174" i="12"/>
  <c r="E173" i="12"/>
  <c r="E170" i="12"/>
  <c r="E169" i="12"/>
  <c r="E168" i="12"/>
  <c r="E167" i="12"/>
  <c r="E166" i="12"/>
  <c r="E163" i="12"/>
  <c r="E162" i="12"/>
  <c r="E161" i="12"/>
  <c r="E160" i="12"/>
  <c r="E159" i="12"/>
  <c r="E156" i="12"/>
  <c r="E155" i="12"/>
  <c r="E154" i="12"/>
  <c r="E153" i="12"/>
  <c r="E150" i="12"/>
  <c r="E149" i="12"/>
  <c r="E148" i="12"/>
  <c r="E147" i="12"/>
  <c r="G147" i="12" s="1"/>
  <c r="K147" i="12" s="1"/>
  <c r="E146" i="12"/>
  <c r="E143" i="12"/>
  <c r="E142" i="12"/>
  <c r="E139" i="12"/>
  <c r="E138" i="12"/>
  <c r="E137" i="12"/>
  <c r="E136" i="12"/>
  <c r="E135" i="12"/>
  <c r="E134" i="12"/>
  <c r="E133" i="12"/>
  <c r="E130" i="12"/>
  <c r="E129" i="12"/>
  <c r="E126" i="12"/>
  <c r="E125" i="12"/>
  <c r="E124" i="12"/>
  <c r="E123" i="12"/>
  <c r="E120" i="12"/>
  <c r="E119" i="12"/>
  <c r="G119" i="12" s="1"/>
  <c r="I119" i="12" s="1"/>
  <c r="E116" i="12"/>
  <c r="E115" i="12"/>
  <c r="E114" i="12"/>
  <c r="E113" i="12"/>
  <c r="E110" i="12"/>
  <c r="E109" i="12"/>
  <c r="E108" i="12"/>
  <c r="E107" i="12"/>
  <c r="E106" i="12"/>
  <c r="E105" i="12"/>
  <c r="E104" i="12"/>
  <c r="E103" i="12"/>
  <c r="E102" i="12"/>
  <c r="E101" i="12"/>
  <c r="E100" i="12"/>
  <c r="E99" i="12"/>
  <c r="E98" i="12"/>
  <c r="E97" i="12"/>
  <c r="E96" i="12"/>
  <c r="E95" i="12"/>
  <c r="E94" i="12"/>
  <c r="G94" i="12" s="1"/>
  <c r="E93" i="12"/>
  <c r="E92" i="12"/>
  <c r="E91" i="12"/>
  <c r="E90" i="12"/>
  <c r="E89" i="12"/>
  <c r="E88" i="12"/>
  <c r="E87" i="12"/>
  <c r="E86" i="12"/>
  <c r="E85" i="12"/>
  <c r="E84" i="12"/>
  <c r="E83" i="12"/>
  <c r="E80" i="12"/>
  <c r="E79" i="12"/>
  <c r="E78" i="12"/>
  <c r="E77" i="12"/>
  <c r="E76" i="12"/>
  <c r="E75" i="12"/>
  <c r="F75" i="12" s="1"/>
  <c r="G75" i="12" s="1"/>
  <c r="E74" i="12"/>
  <c r="G74" i="12" s="1"/>
  <c r="E73" i="12"/>
  <c r="E72" i="12"/>
  <c r="E71" i="12"/>
  <c r="E70" i="12"/>
  <c r="E69" i="12"/>
  <c r="E68" i="12"/>
  <c r="E67" i="12"/>
  <c r="E66" i="12"/>
  <c r="E65" i="12"/>
  <c r="E64" i="12"/>
  <c r="E63" i="12"/>
  <c r="E59" i="12"/>
  <c r="E58" i="12"/>
  <c r="E57" i="12"/>
  <c r="E56" i="12"/>
  <c r="F56" i="12" s="1"/>
  <c r="E53" i="12"/>
  <c r="E52" i="12"/>
  <c r="G51" i="12"/>
  <c r="E51" i="12"/>
  <c r="G50" i="12"/>
  <c r="E50" i="12"/>
  <c r="E49" i="12"/>
  <c r="E48" i="12"/>
  <c r="E45" i="12"/>
  <c r="E44" i="12"/>
  <c r="P43" i="12"/>
  <c r="G43" i="12"/>
  <c r="E43" i="12"/>
  <c r="E40" i="12"/>
  <c r="E37" i="12"/>
  <c r="E36" i="12"/>
  <c r="E35" i="12"/>
  <c r="E34" i="12"/>
  <c r="E33" i="12"/>
  <c r="E32" i="12"/>
  <c r="P31" i="12"/>
  <c r="E31" i="12"/>
  <c r="E30" i="12"/>
  <c r="E29" i="12"/>
  <c r="E26" i="12"/>
  <c r="E23" i="12"/>
  <c r="O20" i="12"/>
  <c r="O19" i="12"/>
  <c r="E19" i="12"/>
  <c r="G19" i="12" s="1"/>
  <c r="H19" i="12" s="1"/>
  <c r="S223" i="12"/>
  <c r="S217" i="12"/>
  <c r="S208" i="12"/>
  <c r="S188" i="12"/>
  <c r="S177" i="12"/>
  <c r="S131" i="12"/>
  <c r="S132" i="12"/>
  <c r="P30" i="12"/>
  <c r="P35" i="12"/>
  <c r="S15" i="12"/>
  <c r="S16" i="12"/>
  <c r="S18" i="12"/>
  <c r="S14" i="12"/>
  <c r="P213" i="12"/>
  <c r="P199" i="12"/>
  <c r="P184" i="12"/>
  <c r="P185" i="12" s="1"/>
  <c r="P169" i="12"/>
  <c r="P150" i="12"/>
  <c r="P139" i="12"/>
  <c r="P126" i="12"/>
  <c r="P116" i="12"/>
  <c r="Q238" i="12"/>
  <c r="C238" i="12"/>
  <c r="Q237" i="12"/>
  <c r="C237" i="12"/>
  <c r="Q236" i="12"/>
  <c r="C236" i="12"/>
  <c r="Q235" i="12"/>
  <c r="C235" i="12"/>
  <c r="F232" i="12"/>
  <c r="E232" i="12"/>
  <c r="C232" i="12"/>
  <c r="G231" i="12"/>
  <c r="I231" i="12" s="1"/>
  <c r="I232" i="12" s="1"/>
  <c r="G230" i="12"/>
  <c r="F228" i="12"/>
  <c r="E228" i="12"/>
  <c r="G228" i="12" s="1"/>
  <c r="C228" i="12"/>
  <c r="K227" i="12"/>
  <c r="K228" i="12" s="1"/>
  <c r="G227" i="12"/>
  <c r="F225" i="12"/>
  <c r="E225" i="12"/>
  <c r="G225" i="12" s="1"/>
  <c r="C225" i="12"/>
  <c r="G224" i="12"/>
  <c r="P224" i="12" s="1"/>
  <c r="G223" i="12"/>
  <c r="K223" i="12" s="1"/>
  <c r="F221" i="12"/>
  <c r="E221" i="12"/>
  <c r="C221" i="12"/>
  <c r="G220" i="12"/>
  <c r="P220" i="12" s="1"/>
  <c r="R220" i="12" s="1"/>
  <c r="S220" i="12" s="1"/>
  <c r="G219" i="12"/>
  <c r="P219" i="12" s="1"/>
  <c r="G218" i="12"/>
  <c r="K218" i="12" s="1"/>
  <c r="L217" i="12"/>
  <c r="K217" i="12"/>
  <c r="G217" i="12"/>
  <c r="G215" i="12"/>
  <c r="F215" i="12"/>
  <c r="E215" i="12"/>
  <c r="C215" i="12"/>
  <c r="G214" i="12"/>
  <c r="G213" i="12"/>
  <c r="I213" i="12" s="1"/>
  <c r="I215" i="12" s="1"/>
  <c r="G212" i="12"/>
  <c r="K212" i="12" s="1"/>
  <c r="K215" i="12" s="1"/>
  <c r="F210" i="12"/>
  <c r="E210" i="12"/>
  <c r="G210" i="12" s="1"/>
  <c r="C210" i="12"/>
  <c r="G209" i="12"/>
  <c r="P209" i="12" s="1"/>
  <c r="G208" i="12"/>
  <c r="K208" i="12" s="1"/>
  <c r="F206" i="12"/>
  <c r="E206" i="12"/>
  <c r="G206" i="12" s="1"/>
  <c r="C206" i="12"/>
  <c r="G205" i="12"/>
  <c r="G204" i="12"/>
  <c r="P204" i="12" s="1"/>
  <c r="K203" i="12"/>
  <c r="K206" i="12" s="1"/>
  <c r="G203" i="12"/>
  <c r="F201" i="12"/>
  <c r="E201" i="12"/>
  <c r="G201" i="12" s="1"/>
  <c r="C201" i="12"/>
  <c r="G200" i="12"/>
  <c r="P200" i="12" s="1"/>
  <c r="R200" i="12" s="1"/>
  <c r="S200" i="12" s="1"/>
  <c r="G199" i="12"/>
  <c r="G198" i="12"/>
  <c r="E196" i="12"/>
  <c r="G196" i="12" s="1"/>
  <c r="C196" i="12"/>
  <c r="G195" i="12"/>
  <c r="P195" i="12" s="1"/>
  <c r="G194" i="12"/>
  <c r="I194" i="12" s="1"/>
  <c r="G193" i="12"/>
  <c r="E191" i="12"/>
  <c r="G191" i="12" s="1"/>
  <c r="C191" i="12"/>
  <c r="G190" i="12"/>
  <c r="P190" i="12" s="1"/>
  <c r="R190" i="12" s="1"/>
  <c r="S190" i="12" s="1"/>
  <c r="G189" i="12"/>
  <c r="P189" i="12" s="1"/>
  <c r="K188" i="12"/>
  <c r="G188" i="12"/>
  <c r="M185" i="12"/>
  <c r="C185" i="12"/>
  <c r="G184" i="12"/>
  <c r="G183" i="12"/>
  <c r="O180" i="12"/>
  <c r="C180" i="12"/>
  <c r="G179" i="12"/>
  <c r="P179" i="12" s="1"/>
  <c r="G178" i="12"/>
  <c r="P178" i="12" s="1"/>
  <c r="K177" i="12"/>
  <c r="L177" i="12" s="1"/>
  <c r="G177" i="12"/>
  <c r="E177" i="12"/>
  <c r="G176" i="12"/>
  <c r="G175" i="12"/>
  <c r="G174" i="12"/>
  <c r="E180" i="12"/>
  <c r="F173" i="12"/>
  <c r="O171" i="12"/>
  <c r="C171" i="12"/>
  <c r="G170" i="12"/>
  <c r="P170" i="12" s="1"/>
  <c r="I169" i="12"/>
  <c r="I171" i="12" s="1"/>
  <c r="G169" i="12"/>
  <c r="K168" i="12"/>
  <c r="L168" i="12" s="1"/>
  <c r="G168" i="12"/>
  <c r="K167" i="12"/>
  <c r="G167" i="12"/>
  <c r="L167" i="12" s="1"/>
  <c r="F166" i="12"/>
  <c r="F171" i="12" s="1"/>
  <c r="E171" i="12"/>
  <c r="O164" i="12"/>
  <c r="M164" i="12"/>
  <c r="C164" i="12"/>
  <c r="G163" i="12"/>
  <c r="P163" i="12" s="1"/>
  <c r="G162" i="12"/>
  <c r="P162" i="12" s="1"/>
  <c r="G161" i="12"/>
  <c r="E164" i="12"/>
  <c r="G160" i="12"/>
  <c r="K160" i="12" s="1"/>
  <c r="L160" i="12" s="1"/>
  <c r="F159" i="12"/>
  <c r="G159" i="12" s="1"/>
  <c r="O157" i="12"/>
  <c r="M157" i="12"/>
  <c r="C157" i="12"/>
  <c r="I156" i="12"/>
  <c r="I157" i="12" s="1"/>
  <c r="G156" i="12"/>
  <c r="P156" i="12" s="1"/>
  <c r="P157" i="12" s="1"/>
  <c r="G155" i="12"/>
  <c r="G154" i="12"/>
  <c r="C151" i="12"/>
  <c r="G150" i="12"/>
  <c r="R150" i="12" s="1"/>
  <c r="S150" i="12" s="1"/>
  <c r="G149" i="12"/>
  <c r="P149" i="12" s="1"/>
  <c r="G148" i="12"/>
  <c r="P148" i="12" s="1"/>
  <c r="E144" i="12"/>
  <c r="C144" i="12"/>
  <c r="N143" i="12"/>
  <c r="N144" i="12" s="1"/>
  <c r="G143" i="12"/>
  <c r="P143" i="12" s="1"/>
  <c r="P144" i="12" s="1"/>
  <c r="N142" i="12"/>
  <c r="G142" i="12"/>
  <c r="K142" i="12" s="1"/>
  <c r="K144" i="12" s="1"/>
  <c r="O140" i="12"/>
  <c r="M140" i="12"/>
  <c r="C140" i="12"/>
  <c r="G139" i="12"/>
  <c r="I139" i="12" s="1"/>
  <c r="K138" i="12"/>
  <c r="G138" i="12"/>
  <c r="G137" i="12"/>
  <c r="K137" i="12" s="1"/>
  <c r="L137" i="12" s="1"/>
  <c r="G136" i="12"/>
  <c r="G135" i="12"/>
  <c r="K134" i="12"/>
  <c r="G134" i="12"/>
  <c r="L134" i="12" s="1"/>
  <c r="R134" i="12" s="1"/>
  <c r="S134" i="12" s="1"/>
  <c r="F130" i="12"/>
  <c r="G130" i="12" s="1"/>
  <c r="F129" i="12"/>
  <c r="C127" i="12"/>
  <c r="N126" i="12"/>
  <c r="N127" i="12" s="1"/>
  <c r="N125" i="12"/>
  <c r="F123" i="12"/>
  <c r="G123" i="12" s="1"/>
  <c r="K123" i="12" s="1"/>
  <c r="E127" i="12"/>
  <c r="G120" i="12"/>
  <c r="F120" i="12"/>
  <c r="F119" i="12"/>
  <c r="F121" i="12" s="1"/>
  <c r="E121" i="12"/>
  <c r="C117" i="12"/>
  <c r="F114" i="12"/>
  <c r="G114" i="12" s="1"/>
  <c r="F113" i="12"/>
  <c r="C111" i="12"/>
  <c r="I110" i="12"/>
  <c r="G110" i="12"/>
  <c r="P110" i="12" s="1"/>
  <c r="G109" i="12"/>
  <c r="P109" i="12" s="1"/>
  <c r="F108" i="12"/>
  <c r="G107" i="12"/>
  <c r="G106" i="12"/>
  <c r="G105" i="12"/>
  <c r="G104" i="12"/>
  <c r="K104" i="12" s="1"/>
  <c r="F104" i="12"/>
  <c r="G103" i="12"/>
  <c r="K103" i="12" s="1"/>
  <c r="G102" i="12"/>
  <c r="K102" i="12" s="1"/>
  <c r="G101" i="12"/>
  <c r="K101" i="12" s="1"/>
  <c r="G100" i="12"/>
  <c r="G99" i="12"/>
  <c r="G98" i="12"/>
  <c r="G97" i="12"/>
  <c r="K96" i="12"/>
  <c r="G96" i="12"/>
  <c r="L96" i="12" s="1"/>
  <c r="G95" i="12"/>
  <c r="G93" i="12"/>
  <c r="G92" i="12"/>
  <c r="G91" i="12"/>
  <c r="F90" i="12"/>
  <c r="F89" i="12"/>
  <c r="G89" i="12" s="1"/>
  <c r="K89" i="12" s="1"/>
  <c r="L89" i="12" s="1"/>
  <c r="G88" i="12"/>
  <c r="G87" i="12"/>
  <c r="K86" i="12"/>
  <c r="G86" i="12"/>
  <c r="L86" i="12" s="1"/>
  <c r="R86" i="12" s="1"/>
  <c r="S86" i="12" s="1"/>
  <c r="F85" i="12"/>
  <c r="G85" i="12" s="1"/>
  <c r="G84" i="12"/>
  <c r="F83" i="12"/>
  <c r="C81" i="12"/>
  <c r="G80" i="12"/>
  <c r="P80" i="12" s="1"/>
  <c r="R80" i="12" s="1"/>
  <c r="S80" i="12" s="1"/>
  <c r="G79" i="12"/>
  <c r="P79" i="12" s="1"/>
  <c r="N78" i="12"/>
  <c r="G78" i="12"/>
  <c r="P78" i="12" s="1"/>
  <c r="G77" i="12"/>
  <c r="K77" i="12" s="1"/>
  <c r="N76" i="12"/>
  <c r="N73" i="12"/>
  <c r="G73" i="12"/>
  <c r="G72" i="12"/>
  <c r="G71" i="12"/>
  <c r="G70" i="12"/>
  <c r="G69" i="12"/>
  <c r="N68" i="12"/>
  <c r="N81" i="12" s="1"/>
  <c r="N233" i="12" s="1"/>
  <c r="G67" i="12"/>
  <c r="K67" i="12" s="1"/>
  <c r="L67" i="12" s="1"/>
  <c r="G66" i="12"/>
  <c r="G65" i="12"/>
  <c r="K64" i="12"/>
  <c r="L64" i="12" s="1"/>
  <c r="G64" i="12"/>
  <c r="F63" i="12"/>
  <c r="G63" i="12" s="1"/>
  <c r="Q60" i="12"/>
  <c r="Q233" i="12" s="1"/>
  <c r="G59" i="12"/>
  <c r="P59" i="12" s="1"/>
  <c r="P60" i="12" s="1"/>
  <c r="F58" i="12"/>
  <c r="G58" i="12" s="1"/>
  <c r="K58" i="12" s="1"/>
  <c r="F57" i="12"/>
  <c r="G57" i="12" s="1"/>
  <c r="O54" i="12"/>
  <c r="C54" i="12"/>
  <c r="G53" i="12"/>
  <c r="G52" i="12"/>
  <c r="P52" i="12" s="1"/>
  <c r="P54" i="12" s="1"/>
  <c r="O51" i="12"/>
  <c r="R51" i="12" s="1"/>
  <c r="S51" i="12" s="1"/>
  <c r="L50" i="12"/>
  <c r="K50" i="12"/>
  <c r="R50" i="12" s="1"/>
  <c r="S50" i="12" s="1"/>
  <c r="G49" i="12"/>
  <c r="L49" i="12" s="1"/>
  <c r="R49" i="12" s="1"/>
  <c r="S49" i="12" s="1"/>
  <c r="C46" i="12"/>
  <c r="G45" i="12"/>
  <c r="P45" i="12" s="1"/>
  <c r="E46" i="12"/>
  <c r="R43" i="12"/>
  <c r="S43" i="12" s="1"/>
  <c r="E41" i="12"/>
  <c r="G41" i="12" s="1"/>
  <c r="C41" i="12"/>
  <c r="G40" i="12"/>
  <c r="P40" i="12" s="1"/>
  <c r="P41" i="12" s="1"/>
  <c r="I38" i="12"/>
  <c r="C38" i="12"/>
  <c r="G37" i="12"/>
  <c r="P37" i="12" s="1"/>
  <c r="G36" i="12"/>
  <c r="P36" i="12" s="1"/>
  <c r="F35" i="12"/>
  <c r="F38" i="12" s="1"/>
  <c r="G34" i="12"/>
  <c r="P34" i="12" s="1"/>
  <c r="R34" i="12" s="1"/>
  <c r="S34" i="12" s="1"/>
  <c r="G33" i="12"/>
  <c r="P33" i="12" s="1"/>
  <c r="G32" i="12"/>
  <c r="P32" i="12" s="1"/>
  <c r="G31" i="12"/>
  <c r="G30" i="12"/>
  <c r="R30" i="12" s="1"/>
  <c r="S30" i="12" s="1"/>
  <c r="M27" i="12"/>
  <c r="M233" i="12" s="1"/>
  <c r="C27" i="12"/>
  <c r="G26" i="12"/>
  <c r="O26" i="12" s="1"/>
  <c r="G25" i="12"/>
  <c r="G24" i="12"/>
  <c r="G23" i="12"/>
  <c r="G22" i="12"/>
  <c r="G21" i="12"/>
  <c r="G20" i="12"/>
  <c r="R18" i="12"/>
  <c r="E18" i="12"/>
  <c r="G18" i="12" s="1"/>
  <c r="O18" i="12" s="1"/>
  <c r="G17" i="12"/>
  <c r="O17" i="12" s="1"/>
  <c r="R16" i="12"/>
  <c r="G16" i="12"/>
  <c r="E16" i="12"/>
  <c r="R15" i="12"/>
  <c r="G15" i="12"/>
  <c r="E15" i="12"/>
  <c r="R14" i="12"/>
  <c r="O14" i="12"/>
  <c r="M14" i="12"/>
  <c r="O19" i="10"/>
  <c r="E19" i="10"/>
  <c r="S231" i="10"/>
  <c r="S230" i="10"/>
  <c r="S227" i="10"/>
  <c r="S224" i="10"/>
  <c r="S223" i="10"/>
  <c r="S218" i="10"/>
  <c r="S219" i="10"/>
  <c r="S220" i="10"/>
  <c r="S217" i="10"/>
  <c r="S213" i="10"/>
  <c r="S214" i="10"/>
  <c r="S212" i="10"/>
  <c r="S209" i="10"/>
  <c r="S208" i="10"/>
  <c r="S204" i="10"/>
  <c r="S205" i="10"/>
  <c r="S203" i="10"/>
  <c r="S199" i="10"/>
  <c r="S200" i="10"/>
  <c r="S198" i="10"/>
  <c r="S194" i="10"/>
  <c r="S195" i="10"/>
  <c r="S193" i="10"/>
  <c r="S189" i="10"/>
  <c r="S190" i="10"/>
  <c r="S188" i="10"/>
  <c r="S183" i="10"/>
  <c r="S184" i="10"/>
  <c r="S182" i="10"/>
  <c r="S174" i="10"/>
  <c r="S175" i="10"/>
  <c r="S176" i="10"/>
  <c r="S177" i="10"/>
  <c r="S178" i="10"/>
  <c r="S179" i="10"/>
  <c r="S173" i="10"/>
  <c r="S167" i="10"/>
  <c r="S168" i="10"/>
  <c r="S169" i="10"/>
  <c r="S170" i="10"/>
  <c r="S166" i="10"/>
  <c r="S160" i="10"/>
  <c r="S161" i="10"/>
  <c r="S162" i="10"/>
  <c r="S163" i="10"/>
  <c r="S159" i="10"/>
  <c r="S154" i="10"/>
  <c r="S155" i="10"/>
  <c r="S156" i="10"/>
  <c r="S153" i="10"/>
  <c r="S147" i="10"/>
  <c r="S148" i="10"/>
  <c r="S149" i="10"/>
  <c r="S150" i="10"/>
  <c r="S146" i="10"/>
  <c r="S143" i="10"/>
  <c r="S142" i="10"/>
  <c r="S134" i="10"/>
  <c r="S135" i="10"/>
  <c r="S136" i="10"/>
  <c r="S137" i="10"/>
  <c r="S138" i="10"/>
  <c r="S139" i="10"/>
  <c r="S133" i="10"/>
  <c r="S130" i="10"/>
  <c r="S129" i="10"/>
  <c r="S124" i="10"/>
  <c r="S126" i="10"/>
  <c r="S123" i="10"/>
  <c r="S120" i="10"/>
  <c r="S119" i="10"/>
  <c r="S114" i="10"/>
  <c r="S115" i="10"/>
  <c r="S116" i="10"/>
  <c r="S113" i="10"/>
  <c r="S84" i="10"/>
  <c r="S85" i="10"/>
  <c r="S86" i="10"/>
  <c r="S87" i="10"/>
  <c r="S88" i="10"/>
  <c r="S89" i="10"/>
  <c r="S90" i="10"/>
  <c r="S91" i="10"/>
  <c r="S92" i="10"/>
  <c r="S93" i="10"/>
  <c r="S94" i="10"/>
  <c r="S95" i="10"/>
  <c r="S96" i="10"/>
  <c r="S97" i="10"/>
  <c r="S98" i="10"/>
  <c r="S99" i="10"/>
  <c r="S100" i="10"/>
  <c r="S101" i="10"/>
  <c r="S102" i="10"/>
  <c r="S103" i="10"/>
  <c r="S104" i="10"/>
  <c r="S105" i="10"/>
  <c r="S106" i="10"/>
  <c r="S107" i="10"/>
  <c r="S108" i="10"/>
  <c r="S109" i="10"/>
  <c r="S110" i="10"/>
  <c r="S83" i="10"/>
  <c r="S64" i="10"/>
  <c r="S65" i="10"/>
  <c r="S66" i="10"/>
  <c r="S67" i="10"/>
  <c r="S68" i="10"/>
  <c r="S69" i="10"/>
  <c r="S70" i="10"/>
  <c r="S71" i="10"/>
  <c r="S72" i="10"/>
  <c r="S73" i="10"/>
  <c r="S74" i="10"/>
  <c r="S75" i="10"/>
  <c r="S76" i="10"/>
  <c r="S77" i="10"/>
  <c r="S78" i="10"/>
  <c r="S79" i="10"/>
  <c r="S80" i="10"/>
  <c r="S63" i="10"/>
  <c r="S57" i="10"/>
  <c r="S58" i="10"/>
  <c r="S59" i="10"/>
  <c r="S56" i="10"/>
  <c r="S49" i="10"/>
  <c r="S50" i="10"/>
  <c r="S51" i="10"/>
  <c r="S52" i="10"/>
  <c r="S53" i="10"/>
  <c r="S48" i="10"/>
  <c r="S44" i="10"/>
  <c r="S45" i="10"/>
  <c r="S43" i="10"/>
  <c r="S40" i="10"/>
  <c r="S30" i="10"/>
  <c r="S31" i="10"/>
  <c r="S32" i="10"/>
  <c r="S33" i="10"/>
  <c r="S34" i="10"/>
  <c r="S35" i="10"/>
  <c r="S36" i="10"/>
  <c r="S37" i="10"/>
  <c r="S29" i="10"/>
  <c r="S15" i="10"/>
  <c r="S16" i="10"/>
  <c r="S18" i="10"/>
  <c r="S20" i="10"/>
  <c r="S21" i="10"/>
  <c r="S22" i="10"/>
  <c r="S23" i="10"/>
  <c r="S24" i="10"/>
  <c r="S25" i="10"/>
  <c r="S26" i="10"/>
  <c r="S14" i="10"/>
  <c r="Q238" i="10"/>
  <c r="C238" i="10"/>
  <c r="Q237" i="10"/>
  <c r="C237" i="10"/>
  <c r="Q236" i="10"/>
  <c r="C236" i="10"/>
  <c r="Q235" i="10"/>
  <c r="Q239" i="10" s="1"/>
  <c r="C235" i="10"/>
  <c r="I232" i="10"/>
  <c r="F232" i="10"/>
  <c r="E232" i="10"/>
  <c r="G232" i="10" s="1"/>
  <c r="C232" i="10"/>
  <c r="R231" i="10"/>
  <c r="P231" i="10"/>
  <c r="P232" i="10" s="1"/>
  <c r="I231" i="10"/>
  <c r="G231" i="10"/>
  <c r="G230" i="10"/>
  <c r="K228" i="10"/>
  <c r="F228" i="10"/>
  <c r="G228" i="10" s="1"/>
  <c r="E228" i="10"/>
  <c r="C228" i="10"/>
  <c r="K227" i="10"/>
  <c r="G227" i="10"/>
  <c r="L227" i="10" s="1"/>
  <c r="K225" i="10"/>
  <c r="G225" i="10"/>
  <c r="F225" i="10"/>
  <c r="E225" i="10"/>
  <c r="C225" i="10"/>
  <c r="G224" i="10"/>
  <c r="L223" i="10"/>
  <c r="L225" i="10" s="1"/>
  <c r="G223" i="10"/>
  <c r="K223" i="10" s="1"/>
  <c r="F221" i="10"/>
  <c r="E221" i="10"/>
  <c r="G221" i="10" s="1"/>
  <c r="C221" i="10"/>
  <c r="R220" i="10"/>
  <c r="G220" i="10"/>
  <c r="P220" i="10" s="1"/>
  <c r="E220" i="10"/>
  <c r="P219" i="10"/>
  <c r="P221" i="10" s="1"/>
  <c r="G219" i="10"/>
  <c r="G218" i="10"/>
  <c r="L217" i="10"/>
  <c r="G217" i="10"/>
  <c r="K217" i="10" s="1"/>
  <c r="I215" i="10"/>
  <c r="F215" i="10"/>
  <c r="G215" i="10" s="1"/>
  <c r="E215" i="10"/>
  <c r="C215" i="10"/>
  <c r="R214" i="10"/>
  <c r="G214" i="10"/>
  <c r="P214" i="10" s="1"/>
  <c r="I213" i="10"/>
  <c r="G213" i="10"/>
  <c r="P213" i="10" s="1"/>
  <c r="G212" i="10"/>
  <c r="I210" i="10"/>
  <c r="F210" i="10"/>
  <c r="G210" i="10" s="1"/>
  <c r="E210" i="10"/>
  <c r="C210" i="10"/>
  <c r="R209" i="10"/>
  <c r="I209" i="10"/>
  <c r="G209" i="10"/>
  <c r="P209" i="10" s="1"/>
  <c r="P210" i="10" s="1"/>
  <c r="K208" i="10"/>
  <c r="G208" i="10"/>
  <c r="F206" i="10"/>
  <c r="E206" i="10"/>
  <c r="G206" i="10" s="1"/>
  <c r="C206" i="10"/>
  <c r="P205" i="10"/>
  <c r="R205" i="10" s="1"/>
  <c r="G205" i="10"/>
  <c r="G204" i="10"/>
  <c r="K203" i="10"/>
  <c r="G203" i="10"/>
  <c r="F201" i="10"/>
  <c r="E201" i="10"/>
  <c r="G201" i="10" s="1"/>
  <c r="C201" i="10"/>
  <c r="P200" i="10"/>
  <c r="R200" i="10" s="1"/>
  <c r="G200" i="10"/>
  <c r="G199" i="10"/>
  <c r="K198" i="10"/>
  <c r="G198" i="10"/>
  <c r="P196" i="10"/>
  <c r="G196" i="10"/>
  <c r="E196" i="10"/>
  <c r="C196" i="10"/>
  <c r="R195" i="10"/>
  <c r="G195" i="10"/>
  <c r="P195" i="10" s="1"/>
  <c r="R194" i="10"/>
  <c r="P194" i="10"/>
  <c r="I194" i="10"/>
  <c r="I196" i="10" s="1"/>
  <c r="G194" i="10"/>
  <c r="G193" i="10"/>
  <c r="E191" i="10"/>
  <c r="G191" i="10" s="1"/>
  <c r="C191" i="10"/>
  <c r="P190" i="10"/>
  <c r="R190" i="10" s="1"/>
  <c r="G190" i="10"/>
  <c r="P189" i="10"/>
  <c r="P191" i="10" s="1"/>
  <c r="G189" i="10"/>
  <c r="I189" i="10" s="1"/>
  <c r="G188" i="10"/>
  <c r="K188" i="10" s="1"/>
  <c r="M185" i="10"/>
  <c r="G185" i="10"/>
  <c r="E185" i="10"/>
  <c r="C185" i="10"/>
  <c r="P184" i="10"/>
  <c r="P185" i="10" s="1"/>
  <c r="G184" i="10"/>
  <c r="R183" i="10"/>
  <c r="K183" i="10"/>
  <c r="L183" i="10" s="1"/>
  <c r="G183" i="10"/>
  <c r="F182" i="10"/>
  <c r="F185" i="10" s="1"/>
  <c r="E182" i="10"/>
  <c r="G182" i="10" s="1"/>
  <c r="P180" i="10"/>
  <c r="O180" i="10"/>
  <c r="I180" i="10"/>
  <c r="F180" i="10"/>
  <c r="C180" i="10"/>
  <c r="R179" i="10"/>
  <c r="G179" i="10"/>
  <c r="P179" i="10" s="1"/>
  <c r="R178" i="10"/>
  <c r="I178" i="10"/>
  <c r="G178" i="10"/>
  <c r="P178" i="10" s="1"/>
  <c r="G177" i="10"/>
  <c r="E177" i="10"/>
  <c r="G176" i="10"/>
  <c r="R175" i="10"/>
  <c r="K175" i="10"/>
  <c r="G175" i="10"/>
  <c r="L175" i="10" s="1"/>
  <c r="G174" i="10"/>
  <c r="E174" i="10"/>
  <c r="E180" i="10" s="1"/>
  <c r="G173" i="10"/>
  <c r="F173" i="10"/>
  <c r="O171" i="10"/>
  <c r="C171" i="10"/>
  <c r="R170" i="10"/>
  <c r="G170" i="10"/>
  <c r="P170" i="10" s="1"/>
  <c r="R169" i="10"/>
  <c r="I169" i="10"/>
  <c r="I171" i="10" s="1"/>
  <c r="G169" i="10"/>
  <c r="P169" i="10" s="1"/>
  <c r="P171" i="10" s="1"/>
  <c r="G168" i="10"/>
  <c r="K167" i="10"/>
  <c r="G167" i="10"/>
  <c r="L167" i="10" s="1"/>
  <c r="R167" i="10" s="1"/>
  <c r="E166" i="10"/>
  <c r="O164" i="10"/>
  <c r="M164" i="10"/>
  <c r="C164" i="10"/>
  <c r="R163" i="10"/>
  <c r="G163" i="10"/>
  <c r="P163" i="10" s="1"/>
  <c r="P162" i="10"/>
  <c r="I162" i="10"/>
  <c r="I164" i="10" s="1"/>
  <c r="G162" i="10"/>
  <c r="G161" i="10"/>
  <c r="E161" i="10"/>
  <c r="G160" i="10"/>
  <c r="E160" i="10"/>
  <c r="E159" i="10"/>
  <c r="O157" i="10"/>
  <c r="M157" i="10"/>
  <c r="I157" i="10"/>
  <c r="C157" i="10"/>
  <c r="R156" i="10"/>
  <c r="P156" i="10"/>
  <c r="P157" i="10" s="1"/>
  <c r="I156" i="10"/>
  <c r="G156" i="10"/>
  <c r="G155" i="10"/>
  <c r="E154" i="10"/>
  <c r="G154" i="10" s="1"/>
  <c r="F153" i="10"/>
  <c r="F157" i="10" s="1"/>
  <c r="E153" i="10"/>
  <c r="G153" i="10" s="1"/>
  <c r="E151" i="10"/>
  <c r="C151" i="10"/>
  <c r="P150" i="10"/>
  <c r="R150" i="10" s="1"/>
  <c r="G150" i="10"/>
  <c r="E149" i="10"/>
  <c r="G149" i="10" s="1"/>
  <c r="R148" i="10"/>
  <c r="I148" i="10"/>
  <c r="I151" i="10" s="1"/>
  <c r="G148" i="10"/>
  <c r="P148" i="10" s="1"/>
  <c r="G147" i="10"/>
  <c r="F146" i="10"/>
  <c r="F151" i="10" s="1"/>
  <c r="E146" i="10"/>
  <c r="C144" i="10"/>
  <c r="N143" i="10"/>
  <c r="N144" i="10" s="1"/>
  <c r="E143" i="10"/>
  <c r="N142" i="10"/>
  <c r="E142" i="10"/>
  <c r="G142" i="10" s="1"/>
  <c r="O140" i="10"/>
  <c r="M140" i="10"/>
  <c r="C140" i="10"/>
  <c r="P139" i="10"/>
  <c r="P140" i="10" s="1"/>
  <c r="G139" i="10"/>
  <c r="E139" i="10"/>
  <c r="G138" i="10"/>
  <c r="K137" i="10"/>
  <c r="L137" i="10" s="1"/>
  <c r="G137" i="10"/>
  <c r="E136" i="10"/>
  <c r="G136" i="10" s="1"/>
  <c r="K135" i="10"/>
  <c r="L135" i="10" s="1"/>
  <c r="G135" i="10"/>
  <c r="G134" i="10"/>
  <c r="K133" i="10"/>
  <c r="E133" i="10"/>
  <c r="G133" i="10" s="1"/>
  <c r="F130" i="10"/>
  <c r="G130" i="10" s="1"/>
  <c r="F129" i="10"/>
  <c r="C127" i="10"/>
  <c r="P126" i="10"/>
  <c r="P127" i="10" s="1"/>
  <c r="N126" i="10"/>
  <c r="F126" i="10"/>
  <c r="E126" i="10"/>
  <c r="N125" i="10"/>
  <c r="N127" i="10" s="1"/>
  <c r="E125" i="10"/>
  <c r="F125" i="10" s="1"/>
  <c r="K124" i="10"/>
  <c r="F124" i="10"/>
  <c r="E124" i="10"/>
  <c r="G124" i="10" s="1"/>
  <c r="E123" i="10"/>
  <c r="F123" i="10" s="1"/>
  <c r="E120" i="10"/>
  <c r="F120" i="10" s="1"/>
  <c r="E119" i="10"/>
  <c r="F119" i="10" s="1"/>
  <c r="F121" i="10" s="1"/>
  <c r="E117" i="10"/>
  <c r="G117" i="10" s="1"/>
  <c r="C117" i="10"/>
  <c r="P116" i="10"/>
  <c r="P117" i="10" s="1"/>
  <c r="G116" i="10"/>
  <c r="E116" i="10"/>
  <c r="F116" i="10" s="1"/>
  <c r="G115" i="10"/>
  <c r="E115" i="10"/>
  <c r="F115" i="10" s="1"/>
  <c r="F114" i="10"/>
  <c r="G114" i="10" s="1"/>
  <c r="G113" i="10"/>
  <c r="E113" i="10"/>
  <c r="F113" i="10" s="1"/>
  <c r="F117" i="10" s="1"/>
  <c r="C111" i="10"/>
  <c r="E110" i="10"/>
  <c r="G110" i="10" s="1"/>
  <c r="I110" i="10" s="1"/>
  <c r="G109" i="10"/>
  <c r="P109" i="10" s="1"/>
  <c r="F108" i="10"/>
  <c r="G108" i="10" s="1"/>
  <c r="E108" i="10"/>
  <c r="E107" i="10"/>
  <c r="G107" i="10" s="1"/>
  <c r="K106" i="10"/>
  <c r="E106" i="10"/>
  <c r="G106" i="10" s="1"/>
  <c r="G105" i="10"/>
  <c r="K104" i="10"/>
  <c r="F104" i="10"/>
  <c r="G104" i="10" s="1"/>
  <c r="E103" i="10"/>
  <c r="G103" i="10" s="1"/>
  <c r="K102" i="10"/>
  <c r="E102" i="10"/>
  <c r="G102" i="10" s="1"/>
  <c r="E101" i="10"/>
  <c r="G101" i="10" s="1"/>
  <c r="K100" i="10"/>
  <c r="E100" i="10"/>
  <c r="G100" i="10" s="1"/>
  <c r="G99" i="10"/>
  <c r="G98" i="10"/>
  <c r="K97" i="10"/>
  <c r="G97" i="10"/>
  <c r="L96" i="10"/>
  <c r="G96" i="10"/>
  <c r="K96" i="10" s="1"/>
  <c r="G95" i="10"/>
  <c r="G94" i="10"/>
  <c r="K93" i="10"/>
  <c r="E93" i="10"/>
  <c r="G93" i="10" s="1"/>
  <c r="E92" i="10"/>
  <c r="G92" i="10" s="1"/>
  <c r="K91" i="10"/>
  <c r="E91" i="10"/>
  <c r="G91" i="10" s="1"/>
  <c r="F90" i="10"/>
  <c r="G90" i="10" s="1"/>
  <c r="E90" i="10"/>
  <c r="F89" i="10"/>
  <c r="G89" i="10" s="1"/>
  <c r="G88" i="10"/>
  <c r="E88" i="10"/>
  <c r="E87" i="10"/>
  <c r="G87" i="10" s="1"/>
  <c r="G86" i="10"/>
  <c r="K85" i="10"/>
  <c r="F85" i="10"/>
  <c r="G85" i="10" s="1"/>
  <c r="G84" i="10"/>
  <c r="G83" i="10"/>
  <c r="F83" i="10"/>
  <c r="C81" i="10"/>
  <c r="G80" i="10"/>
  <c r="G79" i="10"/>
  <c r="N78" i="10"/>
  <c r="E78" i="10"/>
  <c r="K77" i="10"/>
  <c r="I77" i="10"/>
  <c r="L77" i="10" s="1"/>
  <c r="G77" i="10"/>
  <c r="N76" i="10"/>
  <c r="I76" i="10"/>
  <c r="G76" i="10"/>
  <c r="E76" i="10"/>
  <c r="K75" i="10"/>
  <c r="R75" i="10" s="1"/>
  <c r="G75" i="10"/>
  <c r="F75" i="10"/>
  <c r="E74" i="10"/>
  <c r="G74" i="10" s="1"/>
  <c r="N73" i="10"/>
  <c r="E73" i="10"/>
  <c r="G73" i="10" s="1"/>
  <c r="G72" i="10"/>
  <c r="K72" i="10" s="1"/>
  <c r="E72" i="10"/>
  <c r="E71" i="10"/>
  <c r="G71" i="10" s="1"/>
  <c r="K71" i="10" s="1"/>
  <c r="K70" i="10"/>
  <c r="G70" i="10"/>
  <c r="E70" i="10"/>
  <c r="L69" i="10"/>
  <c r="E69" i="10"/>
  <c r="G69" i="10" s="1"/>
  <c r="K69" i="10" s="1"/>
  <c r="N68" i="10"/>
  <c r="L68" i="10"/>
  <c r="K68" i="10"/>
  <c r="G68" i="10"/>
  <c r="R68" i="10" s="1"/>
  <c r="E68" i="10"/>
  <c r="G67" i="10"/>
  <c r="E67" i="10"/>
  <c r="L66" i="10"/>
  <c r="K66" i="10"/>
  <c r="G66" i="10"/>
  <c r="R66" i="10" s="1"/>
  <c r="L65" i="10"/>
  <c r="R65" i="10" s="1"/>
  <c r="K65" i="10"/>
  <c r="G65" i="10"/>
  <c r="E64" i="10"/>
  <c r="E81" i="10" s="1"/>
  <c r="K63" i="10"/>
  <c r="G63" i="10"/>
  <c r="F63" i="10"/>
  <c r="F81" i="10" s="1"/>
  <c r="Q60" i="10"/>
  <c r="Q233" i="10" s="1"/>
  <c r="E60" i="10"/>
  <c r="G59" i="10"/>
  <c r="K58" i="10"/>
  <c r="G58" i="10"/>
  <c r="F58" i="10"/>
  <c r="L57" i="10"/>
  <c r="F57" i="10"/>
  <c r="G57" i="10" s="1"/>
  <c r="K57" i="10" s="1"/>
  <c r="G56" i="10"/>
  <c r="F56" i="10"/>
  <c r="F60" i="10" s="1"/>
  <c r="E56" i="10"/>
  <c r="C54" i="10"/>
  <c r="G53" i="10"/>
  <c r="K53" i="10" s="1"/>
  <c r="K54" i="10" s="1"/>
  <c r="G52" i="10"/>
  <c r="O51" i="10"/>
  <c r="K50" i="10"/>
  <c r="E49" i="10"/>
  <c r="G49" i="10" s="1"/>
  <c r="K48" i="10"/>
  <c r="L48" i="10" s="1"/>
  <c r="G48" i="10"/>
  <c r="E48" i="10"/>
  <c r="C46" i="10"/>
  <c r="G45" i="10"/>
  <c r="E45" i="10"/>
  <c r="E46" i="10" s="1"/>
  <c r="P44" i="10"/>
  <c r="J44" i="10"/>
  <c r="J46" i="10" s="1"/>
  <c r="G44" i="10"/>
  <c r="R44" i="10" s="1"/>
  <c r="E44" i="10"/>
  <c r="R43" i="10"/>
  <c r="P43" i="10"/>
  <c r="C41" i="10"/>
  <c r="E40" i="10"/>
  <c r="E41" i="10" s="1"/>
  <c r="G41" i="10" s="1"/>
  <c r="J38" i="10"/>
  <c r="J233" i="10" s="1"/>
  <c r="I38" i="10"/>
  <c r="F38" i="10"/>
  <c r="C38" i="10"/>
  <c r="P37" i="10"/>
  <c r="R37" i="10" s="1"/>
  <c r="G37" i="10"/>
  <c r="R36" i="10"/>
  <c r="P36" i="10"/>
  <c r="G36" i="10"/>
  <c r="P35" i="10"/>
  <c r="R35" i="10" s="1"/>
  <c r="F35" i="10"/>
  <c r="G35" i="10" s="1"/>
  <c r="J35" i="10" s="1"/>
  <c r="E34" i="10"/>
  <c r="G34" i="10" s="1"/>
  <c r="G33" i="10"/>
  <c r="E33" i="10"/>
  <c r="R32" i="10"/>
  <c r="P32" i="10"/>
  <c r="G32" i="10"/>
  <c r="E32" i="10"/>
  <c r="E31" i="10"/>
  <c r="G31" i="10" s="1"/>
  <c r="P31" i="10" s="1"/>
  <c r="G30" i="10"/>
  <c r="E30" i="10"/>
  <c r="E38" i="10" s="1"/>
  <c r="G38" i="10" s="1"/>
  <c r="P29" i="10"/>
  <c r="G29" i="10"/>
  <c r="E29" i="10"/>
  <c r="C27" i="10"/>
  <c r="G26" i="10"/>
  <c r="E26" i="10"/>
  <c r="O25" i="10"/>
  <c r="H25" i="10"/>
  <c r="G25" i="10"/>
  <c r="R25" i="10" s="1"/>
  <c r="O24" i="10"/>
  <c r="R24" i="10" s="1"/>
  <c r="H24" i="10"/>
  <c r="G24" i="10"/>
  <c r="E23" i="10"/>
  <c r="G23" i="10" s="1"/>
  <c r="O22" i="10"/>
  <c r="H22" i="10"/>
  <c r="G22" i="10"/>
  <c r="R21" i="10"/>
  <c r="O21" i="10"/>
  <c r="H21" i="10"/>
  <c r="G21" i="10"/>
  <c r="R20" i="10"/>
  <c r="H20" i="10"/>
  <c r="G20" i="10"/>
  <c r="G19" i="10"/>
  <c r="G18" i="10"/>
  <c r="E18" i="10"/>
  <c r="G17" i="10"/>
  <c r="E16" i="10"/>
  <c r="E15" i="10"/>
  <c r="R14" i="10"/>
  <c r="O14" i="10"/>
  <c r="M14" i="10"/>
  <c r="M27" i="10" s="1"/>
  <c r="M233" i="10" s="1"/>
  <c r="C111" i="9"/>
  <c r="C81" i="9"/>
  <c r="C229" i="1"/>
  <c r="R111" i="8"/>
  <c r="R111" i="9"/>
  <c r="R233" i="9" s="1"/>
  <c r="L91" i="9"/>
  <c r="E91" i="9"/>
  <c r="L87" i="9"/>
  <c r="E87" i="9"/>
  <c r="S231" i="9"/>
  <c r="S230" i="9"/>
  <c r="S227" i="9"/>
  <c r="S224" i="9"/>
  <c r="S223" i="9"/>
  <c r="S218" i="9"/>
  <c r="S219" i="9"/>
  <c r="S217" i="9"/>
  <c r="S213" i="9"/>
  <c r="S212" i="9"/>
  <c r="S209" i="9"/>
  <c r="S208" i="9"/>
  <c r="S204" i="9"/>
  <c r="S203" i="9"/>
  <c r="S200" i="9"/>
  <c r="S199" i="9"/>
  <c r="S198" i="9"/>
  <c r="S194" i="9"/>
  <c r="S193" i="9"/>
  <c r="S189" i="9"/>
  <c r="S188" i="9"/>
  <c r="S183" i="9"/>
  <c r="S184" i="9"/>
  <c r="S182" i="9"/>
  <c r="S174" i="9"/>
  <c r="S175" i="9"/>
  <c r="S176" i="9"/>
  <c r="S177" i="9"/>
  <c r="S178" i="9"/>
  <c r="S179" i="9"/>
  <c r="S173" i="9"/>
  <c r="S167" i="9"/>
  <c r="S168" i="9"/>
  <c r="S169" i="9"/>
  <c r="S170" i="9"/>
  <c r="S166" i="9"/>
  <c r="S150" i="9"/>
  <c r="S149" i="9"/>
  <c r="S160" i="9"/>
  <c r="S161" i="9"/>
  <c r="S162" i="9"/>
  <c r="S163" i="9"/>
  <c r="S159" i="9"/>
  <c r="S154" i="9"/>
  <c r="S155" i="9"/>
  <c r="S156" i="9"/>
  <c r="S153" i="9"/>
  <c r="S147" i="9"/>
  <c r="S148" i="9"/>
  <c r="S146" i="9"/>
  <c r="S143" i="9"/>
  <c r="S142" i="9"/>
  <c r="S130" i="9"/>
  <c r="S131" i="9"/>
  <c r="S132" i="9"/>
  <c r="S133" i="9"/>
  <c r="S134" i="9"/>
  <c r="S135" i="9"/>
  <c r="S136" i="9"/>
  <c r="S137" i="9"/>
  <c r="S138" i="9"/>
  <c r="S139" i="9"/>
  <c r="S129" i="9"/>
  <c r="S124" i="9"/>
  <c r="S125" i="9"/>
  <c r="S126" i="9"/>
  <c r="S123" i="9"/>
  <c r="S114" i="9"/>
  <c r="S115" i="9"/>
  <c r="S116" i="9"/>
  <c r="S117" i="9"/>
  <c r="S118" i="9"/>
  <c r="S119" i="9"/>
  <c r="S120" i="9"/>
  <c r="S113" i="9"/>
  <c r="S84" i="9"/>
  <c r="S85" i="9"/>
  <c r="S86" i="9"/>
  <c r="S88" i="9"/>
  <c r="S89" i="9"/>
  <c r="S90" i="9"/>
  <c r="S92" i="9"/>
  <c r="S93" i="9"/>
  <c r="S94" i="9"/>
  <c r="S95" i="9"/>
  <c r="S96" i="9"/>
  <c r="S97" i="9"/>
  <c r="S98" i="9"/>
  <c r="S99" i="9"/>
  <c r="S100" i="9"/>
  <c r="S101" i="9"/>
  <c r="S102" i="9"/>
  <c r="S103" i="9"/>
  <c r="S104" i="9"/>
  <c r="S105" i="9"/>
  <c r="S106" i="9"/>
  <c r="S107" i="9"/>
  <c r="S108" i="9"/>
  <c r="S109" i="9"/>
  <c r="S110" i="9"/>
  <c r="S83" i="9"/>
  <c r="S64" i="9"/>
  <c r="S65" i="9"/>
  <c r="S66" i="9"/>
  <c r="S67" i="9"/>
  <c r="S68" i="9"/>
  <c r="S69" i="9"/>
  <c r="S70" i="9"/>
  <c r="S71" i="9"/>
  <c r="S72" i="9"/>
  <c r="S73" i="9"/>
  <c r="S74" i="9"/>
  <c r="S75" i="9"/>
  <c r="S76" i="9"/>
  <c r="S77" i="9"/>
  <c r="S78" i="9"/>
  <c r="S79" i="9"/>
  <c r="S80" i="9"/>
  <c r="S63" i="9"/>
  <c r="S57" i="9"/>
  <c r="S58" i="9"/>
  <c r="S59" i="9"/>
  <c r="S56" i="9"/>
  <c r="S49" i="9"/>
  <c r="S50" i="9"/>
  <c r="S51" i="9"/>
  <c r="S52" i="9"/>
  <c r="S53" i="9"/>
  <c r="S48" i="9"/>
  <c r="S44" i="9"/>
  <c r="S45" i="9"/>
  <c r="S43" i="9"/>
  <c r="S40" i="9"/>
  <c r="S30" i="9"/>
  <c r="S31" i="9"/>
  <c r="S32" i="9"/>
  <c r="S33" i="9"/>
  <c r="S34" i="9"/>
  <c r="S35" i="9"/>
  <c r="S36" i="9"/>
  <c r="S37" i="9"/>
  <c r="S29" i="9"/>
  <c r="S15" i="9"/>
  <c r="S16" i="9"/>
  <c r="S17" i="9"/>
  <c r="S18" i="9"/>
  <c r="S19" i="9"/>
  <c r="S20" i="9"/>
  <c r="S21" i="9"/>
  <c r="S22" i="9"/>
  <c r="S23" i="9"/>
  <c r="S24" i="9"/>
  <c r="S25" i="9"/>
  <c r="S26" i="9"/>
  <c r="S14" i="9"/>
  <c r="E102" i="9"/>
  <c r="L92" i="9"/>
  <c r="R92" i="9" s="1"/>
  <c r="Q238" i="9"/>
  <c r="C238" i="9"/>
  <c r="Q237" i="9"/>
  <c r="C237" i="9"/>
  <c r="Q236" i="9"/>
  <c r="C236" i="9"/>
  <c r="Q235" i="9"/>
  <c r="Q239" i="9" s="1"/>
  <c r="C235" i="9"/>
  <c r="C239" i="9" s="1"/>
  <c r="F232" i="9"/>
  <c r="G232" i="9" s="1"/>
  <c r="E232" i="9"/>
  <c r="C232" i="9"/>
  <c r="G231" i="9"/>
  <c r="G230" i="9"/>
  <c r="F228" i="9"/>
  <c r="E228" i="9"/>
  <c r="G228" i="9" s="1"/>
  <c r="C228" i="9"/>
  <c r="K227" i="9"/>
  <c r="G227" i="9"/>
  <c r="G225" i="9"/>
  <c r="F225" i="9"/>
  <c r="E225" i="9"/>
  <c r="C225" i="9"/>
  <c r="I224" i="9"/>
  <c r="I225" i="9" s="1"/>
  <c r="G224" i="9"/>
  <c r="G223" i="9"/>
  <c r="K223" i="9" s="1"/>
  <c r="F221" i="9"/>
  <c r="C221" i="9"/>
  <c r="E220" i="9"/>
  <c r="G219" i="9"/>
  <c r="K218" i="9"/>
  <c r="G218" i="9"/>
  <c r="L217" i="9"/>
  <c r="G217" i="9"/>
  <c r="K217" i="9" s="1"/>
  <c r="K221" i="9" s="1"/>
  <c r="K215" i="9"/>
  <c r="F215" i="9"/>
  <c r="E215" i="9"/>
  <c r="G215" i="9" s="1"/>
  <c r="C215" i="9"/>
  <c r="G214" i="9"/>
  <c r="P214" i="9" s="1"/>
  <c r="R214" i="9" s="1"/>
  <c r="S214" i="9" s="1"/>
  <c r="P213" i="9"/>
  <c r="I213" i="9"/>
  <c r="G213" i="9"/>
  <c r="L212" i="9"/>
  <c r="L215" i="9" s="1"/>
  <c r="G212" i="9"/>
  <c r="K212" i="9" s="1"/>
  <c r="K210" i="9"/>
  <c r="I210" i="9"/>
  <c r="F210" i="9"/>
  <c r="E210" i="9"/>
  <c r="G210" i="9" s="1"/>
  <c r="C210" i="9"/>
  <c r="P209" i="9"/>
  <c r="P210" i="9" s="1"/>
  <c r="I209" i="9"/>
  <c r="G209" i="9"/>
  <c r="L208" i="9"/>
  <c r="L210" i="9" s="1"/>
  <c r="K208" i="9"/>
  <c r="G208" i="9"/>
  <c r="K206" i="9"/>
  <c r="G206" i="9"/>
  <c r="F206" i="9"/>
  <c r="E206" i="9"/>
  <c r="C206" i="9"/>
  <c r="S205" i="9"/>
  <c r="G205" i="9"/>
  <c r="P205" i="9" s="1"/>
  <c r="R205" i="9" s="1"/>
  <c r="P204" i="9"/>
  <c r="P206" i="9" s="1"/>
  <c r="G204" i="9"/>
  <c r="I204" i="9" s="1"/>
  <c r="R204" i="9" s="1"/>
  <c r="L203" i="9"/>
  <c r="K203" i="9"/>
  <c r="G203" i="9"/>
  <c r="K201" i="9"/>
  <c r="I201" i="9"/>
  <c r="G201" i="9"/>
  <c r="F201" i="9"/>
  <c r="E201" i="9"/>
  <c r="C201" i="9"/>
  <c r="G200" i="9"/>
  <c r="P200" i="9" s="1"/>
  <c r="R200" i="9" s="1"/>
  <c r="P199" i="9"/>
  <c r="G199" i="9"/>
  <c r="I199" i="9" s="1"/>
  <c r="R198" i="9"/>
  <c r="L198" i="9"/>
  <c r="L201" i="9" s="1"/>
  <c r="K198" i="9"/>
  <c r="G198" i="9"/>
  <c r="G196" i="9"/>
  <c r="E196" i="9"/>
  <c r="C196" i="9"/>
  <c r="S195" i="9"/>
  <c r="R195" i="9"/>
  <c r="G195" i="9"/>
  <c r="P195" i="9" s="1"/>
  <c r="I194" i="9"/>
  <c r="R194" i="9" s="1"/>
  <c r="G194" i="9"/>
  <c r="P194" i="9" s="1"/>
  <c r="P196" i="9" s="1"/>
  <c r="L193" i="9"/>
  <c r="L196" i="9" s="1"/>
  <c r="K193" i="9"/>
  <c r="K196" i="9" s="1"/>
  <c r="G193" i="9"/>
  <c r="E191" i="9"/>
  <c r="G191" i="9" s="1"/>
  <c r="C191" i="9"/>
  <c r="P190" i="9"/>
  <c r="R190" i="9" s="1"/>
  <c r="S190" i="9" s="1"/>
  <c r="G190" i="9"/>
  <c r="G189" i="9"/>
  <c r="I189" i="9" s="1"/>
  <c r="G188" i="9"/>
  <c r="K188" i="9" s="1"/>
  <c r="M185" i="9"/>
  <c r="E185" i="9"/>
  <c r="C185" i="9"/>
  <c r="G184" i="9"/>
  <c r="G183" i="9"/>
  <c r="F182" i="9"/>
  <c r="E182" i="9"/>
  <c r="O180" i="9"/>
  <c r="I180" i="9"/>
  <c r="F180" i="9"/>
  <c r="C180" i="9"/>
  <c r="G179" i="9"/>
  <c r="P179" i="9" s="1"/>
  <c r="R179" i="9" s="1"/>
  <c r="P178" i="9"/>
  <c r="I178" i="9"/>
  <c r="G178" i="9"/>
  <c r="E177" i="9"/>
  <c r="G177" i="9" s="1"/>
  <c r="G176" i="9"/>
  <c r="R175" i="9"/>
  <c r="K175" i="9"/>
  <c r="L175" i="9" s="1"/>
  <c r="G175" i="9"/>
  <c r="G174" i="9"/>
  <c r="E174" i="9"/>
  <c r="E180" i="9" s="1"/>
  <c r="G180" i="9" s="1"/>
  <c r="K173" i="9"/>
  <c r="G173" i="9"/>
  <c r="F173" i="9"/>
  <c r="O171" i="9"/>
  <c r="I171" i="9"/>
  <c r="E171" i="9"/>
  <c r="C171" i="9"/>
  <c r="R170" i="9"/>
  <c r="G170" i="9"/>
  <c r="P170" i="9" s="1"/>
  <c r="R169" i="9"/>
  <c r="P169" i="9"/>
  <c r="P171" i="9" s="1"/>
  <c r="I169" i="9"/>
  <c r="G169" i="9"/>
  <c r="G168" i="9"/>
  <c r="G167" i="9"/>
  <c r="G166" i="9"/>
  <c r="E166" i="9"/>
  <c r="F166" i="9" s="1"/>
  <c r="F171" i="9" s="1"/>
  <c r="O164" i="9"/>
  <c r="M164" i="9"/>
  <c r="C164" i="9"/>
  <c r="R163" i="9"/>
  <c r="G163" i="9"/>
  <c r="P163" i="9" s="1"/>
  <c r="G162" i="9"/>
  <c r="G161" i="9"/>
  <c r="E161" i="9"/>
  <c r="G160" i="9"/>
  <c r="E160" i="9"/>
  <c r="E159" i="9"/>
  <c r="O157" i="9"/>
  <c r="M157" i="9"/>
  <c r="C157" i="9"/>
  <c r="G156" i="9"/>
  <c r="K155" i="9"/>
  <c r="G155" i="9"/>
  <c r="E154" i="9"/>
  <c r="G154" i="9" s="1"/>
  <c r="E153" i="9"/>
  <c r="F151" i="9"/>
  <c r="E151" i="9"/>
  <c r="G151" i="9" s="1"/>
  <c r="C151" i="9"/>
  <c r="R150" i="9"/>
  <c r="G150" i="9"/>
  <c r="P150" i="9" s="1"/>
  <c r="G149" i="9"/>
  <c r="E149" i="9"/>
  <c r="G148" i="9"/>
  <c r="G147" i="9"/>
  <c r="G146" i="9"/>
  <c r="E146" i="9"/>
  <c r="F146" i="9" s="1"/>
  <c r="E144" i="9"/>
  <c r="C144" i="9"/>
  <c r="N143" i="9"/>
  <c r="G143" i="9"/>
  <c r="P143" i="9" s="1"/>
  <c r="P144" i="9" s="1"/>
  <c r="E143" i="9"/>
  <c r="N142" i="9"/>
  <c r="N144" i="9" s="1"/>
  <c r="E142" i="9"/>
  <c r="G142" i="9" s="1"/>
  <c r="O140" i="9"/>
  <c r="M140" i="9"/>
  <c r="I140" i="9"/>
  <c r="F140" i="9"/>
  <c r="C140" i="9"/>
  <c r="P139" i="9"/>
  <c r="I139" i="9"/>
  <c r="E139" i="9"/>
  <c r="G139" i="9" s="1"/>
  <c r="K138" i="9"/>
  <c r="G138" i="9"/>
  <c r="L137" i="9"/>
  <c r="K137" i="9"/>
  <c r="G137" i="9"/>
  <c r="E136" i="9"/>
  <c r="G136" i="9" s="1"/>
  <c r="I136" i="9" s="1"/>
  <c r="G135" i="9"/>
  <c r="L134" i="9"/>
  <c r="R134" i="9" s="1"/>
  <c r="K134" i="9"/>
  <c r="G134" i="9"/>
  <c r="G133" i="9"/>
  <c r="E133" i="9"/>
  <c r="E140" i="9" s="1"/>
  <c r="F130" i="9"/>
  <c r="G130" i="9" s="1"/>
  <c r="K130" i="9" s="1"/>
  <c r="G129" i="9"/>
  <c r="F129" i="9"/>
  <c r="C127" i="9"/>
  <c r="N126" i="9"/>
  <c r="E126" i="9"/>
  <c r="N125" i="9"/>
  <c r="E125" i="9"/>
  <c r="F125" i="9" s="1"/>
  <c r="G125" i="9" s="1"/>
  <c r="E124" i="9"/>
  <c r="E123" i="9"/>
  <c r="E120" i="9"/>
  <c r="E119" i="9"/>
  <c r="F119" i="9" s="1"/>
  <c r="C117" i="9"/>
  <c r="P116" i="9"/>
  <c r="P117" i="9" s="1"/>
  <c r="E116" i="9"/>
  <c r="F115" i="9"/>
  <c r="E115" i="9"/>
  <c r="K114" i="9"/>
  <c r="L114" i="9" s="1"/>
  <c r="G114" i="9"/>
  <c r="F114" i="9"/>
  <c r="F113" i="9"/>
  <c r="G113" i="9" s="1"/>
  <c r="E113" i="9"/>
  <c r="P111" i="9"/>
  <c r="E111" i="9"/>
  <c r="P110" i="9"/>
  <c r="I110" i="9"/>
  <c r="G110" i="9"/>
  <c r="E110" i="9"/>
  <c r="R109" i="9"/>
  <c r="P109" i="9"/>
  <c r="G109" i="9"/>
  <c r="E108" i="9"/>
  <c r="G107" i="9"/>
  <c r="E107" i="9"/>
  <c r="K106" i="9"/>
  <c r="L106" i="9" s="1"/>
  <c r="G106" i="9"/>
  <c r="E106" i="9"/>
  <c r="G105" i="9"/>
  <c r="K105" i="9" s="1"/>
  <c r="G104" i="9"/>
  <c r="F104" i="9"/>
  <c r="G103" i="9"/>
  <c r="E103" i="9"/>
  <c r="K102" i="9"/>
  <c r="G102" i="9"/>
  <c r="L102" i="9" s="1"/>
  <c r="E101" i="9"/>
  <c r="G101" i="9" s="1"/>
  <c r="G100" i="9"/>
  <c r="E100" i="9"/>
  <c r="G99" i="9"/>
  <c r="K99" i="9" s="1"/>
  <c r="G98" i="9"/>
  <c r="G97" i="9"/>
  <c r="K96" i="9"/>
  <c r="G96" i="9"/>
  <c r="G95" i="9"/>
  <c r="K95" i="9" s="1"/>
  <c r="G94" i="9"/>
  <c r="G93" i="9"/>
  <c r="E93" i="9"/>
  <c r="E92" i="9"/>
  <c r="G91" i="9"/>
  <c r="K91" i="9" s="1"/>
  <c r="F90" i="9"/>
  <c r="G90" i="9" s="1"/>
  <c r="E90" i="9"/>
  <c r="F89" i="9"/>
  <c r="G89" i="9" s="1"/>
  <c r="G88" i="9"/>
  <c r="E88" i="9"/>
  <c r="G87" i="9"/>
  <c r="K87" i="9" s="1"/>
  <c r="G86" i="9"/>
  <c r="G85" i="9"/>
  <c r="F85" i="9"/>
  <c r="L84" i="9"/>
  <c r="G84" i="9"/>
  <c r="K84" i="9" s="1"/>
  <c r="F83" i="9"/>
  <c r="N81" i="9"/>
  <c r="G80" i="9"/>
  <c r="G79" i="9"/>
  <c r="N78" i="9"/>
  <c r="E78" i="9"/>
  <c r="E237" i="9" s="1"/>
  <c r="G77" i="9"/>
  <c r="N76" i="9"/>
  <c r="E76" i="9"/>
  <c r="G75" i="9"/>
  <c r="F75" i="9"/>
  <c r="E74" i="9"/>
  <c r="G74" i="9" s="1"/>
  <c r="N73" i="9"/>
  <c r="E73" i="9"/>
  <c r="G73" i="9" s="1"/>
  <c r="E72" i="9"/>
  <c r="G72" i="9" s="1"/>
  <c r="E71" i="9"/>
  <c r="G71" i="9" s="1"/>
  <c r="E70" i="9"/>
  <c r="G70" i="9" s="1"/>
  <c r="E69" i="9"/>
  <c r="G69" i="9" s="1"/>
  <c r="N68" i="9"/>
  <c r="G68" i="9"/>
  <c r="E68" i="9"/>
  <c r="E67" i="9"/>
  <c r="G67" i="9" s="1"/>
  <c r="K67" i="9" s="1"/>
  <c r="G66" i="9"/>
  <c r="K65" i="9"/>
  <c r="L65" i="9" s="1"/>
  <c r="R65" i="9" s="1"/>
  <c r="G65" i="9"/>
  <c r="E64" i="9"/>
  <c r="E81" i="9" s="1"/>
  <c r="G63" i="9"/>
  <c r="K63" i="9" s="1"/>
  <c r="F63" i="9"/>
  <c r="F81" i="9" s="1"/>
  <c r="Q60" i="9"/>
  <c r="Q233" i="9" s="1"/>
  <c r="E60" i="9"/>
  <c r="G59" i="9"/>
  <c r="P59" i="9" s="1"/>
  <c r="P60" i="9" s="1"/>
  <c r="F58" i="9"/>
  <c r="G58" i="9" s="1"/>
  <c r="F57" i="9"/>
  <c r="G57" i="9" s="1"/>
  <c r="G56" i="9"/>
  <c r="F56" i="9"/>
  <c r="E56" i="9"/>
  <c r="C54" i="9"/>
  <c r="K53" i="9"/>
  <c r="G53" i="9"/>
  <c r="G52" i="9"/>
  <c r="P52" i="9" s="1"/>
  <c r="P54" i="9" s="1"/>
  <c r="O51" i="9"/>
  <c r="R50" i="9"/>
  <c r="K50" i="9"/>
  <c r="L50" i="9" s="1"/>
  <c r="G49" i="9"/>
  <c r="L49" i="9" s="1"/>
  <c r="E49" i="9"/>
  <c r="K48" i="9"/>
  <c r="K54" i="9" s="1"/>
  <c r="G48" i="9"/>
  <c r="E48" i="9"/>
  <c r="E46" i="9"/>
  <c r="C46" i="9"/>
  <c r="E45" i="9"/>
  <c r="G45" i="9" s="1"/>
  <c r="P44" i="9"/>
  <c r="G44" i="9"/>
  <c r="E44" i="9"/>
  <c r="P43" i="9"/>
  <c r="C41" i="9"/>
  <c r="E40" i="9"/>
  <c r="E41" i="9" s="1"/>
  <c r="G41" i="9" s="1"/>
  <c r="I38" i="9"/>
  <c r="E38" i="9"/>
  <c r="C38" i="9"/>
  <c r="G37" i="9"/>
  <c r="G36" i="9"/>
  <c r="P35" i="9"/>
  <c r="F35" i="9"/>
  <c r="G35" i="9" s="1"/>
  <c r="J35" i="9" s="1"/>
  <c r="E34" i="9"/>
  <c r="G34" i="9" s="1"/>
  <c r="E33" i="9"/>
  <c r="G33" i="9" s="1"/>
  <c r="G32" i="9"/>
  <c r="P32" i="9" s="1"/>
  <c r="R32" i="9" s="1"/>
  <c r="E32" i="9"/>
  <c r="E31" i="9"/>
  <c r="G31" i="9" s="1"/>
  <c r="E30" i="9"/>
  <c r="G30" i="9" s="1"/>
  <c r="E29" i="9"/>
  <c r="G29" i="9" s="1"/>
  <c r="C27" i="9"/>
  <c r="E26" i="9"/>
  <c r="G26" i="9" s="1"/>
  <c r="G25" i="9"/>
  <c r="R24" i="9"/>
  <c r="O24" i="9"/>
  <c r="H24" i="9"/>
  <c r="G24" i="9"/>
  <c r="E23" i="9"/>
  <c r="G23" i="9" s="1"/>
  <c r="G22" i="9"/>
  <c r="O21" i="9"/>
  <c r="H21" i="9"/>
  <c r="R21" i="9" s="1"/>
  <c r="G21" i="9"/>
  <c r="H20" i="9"/>
  <c r="R20" i="9" s="1"/>
  <c r="G20" i="9"/>
  <c r="O19" i="9"/>
  <c r="G19" i="9"/>
  <c r="H19" i="9" s="1"/>
  <c r="E19" i="9"/>
  <c r="G18" i="9"/>
  <c r="O18" i="9" s="1"/>
  <c r="E18" i="9"/>
  <c r="O17" i="9"/>
  <c r="K17" i="9"/>
  <c r="K27" i="9" s="1"/>
  <c r="G17" i="9"/>
  <c r="H17" i="9" s="1"/>
  <c r="E16" i="9"/>
  <c r="G16" i="9" s="1"/>
  <c r="E15" i="9"/>
  <c r="O14" i="9"/>
  <c r="M14" i="9"/>
  <c r="R14" i="9" s="1"/>
  <c r="S231" i="8"/>
  <c r="S230" i="8"/>
  <c r="S227" i="8"/>
  <c r="S224" i="8"/>
  <c r="S223" i="8"/>
  <c r="S218" i="8"/>
  <c r="S219" i="8"/>
  <c r="S217" i="8"/>
  <c r="S213" i="8"/>
  <c r="S212" i="8"/>
  <c r="S209" i="8"/>
  <c r="S208" i="8"/>
  <c r="S204" i="8"/>
  <c r="S203" i="8"/>
  <c r="S199" i="8"/>
  <c r="S198" i="8"/>
  <c r="S194" i="8"/>
  <c r="S193" i="8"/>
  <c r="S189" i="8"/>
  <c r="S188" i="8"/>
  <c r="S183" i="8"/>
  <c r="S184" i="8"/>
  <c r="S174" i="8"/>
  <c r="S175" i="8"/>
  <c r="S176" i="8"/>
  <c r="S177" i="8"/>
  <c r="S178" i="8"/>
  <c r="S179" i="8"/>
  <c r="S173" i="8"/>
  <c r="S167" i="8"/>
  <c r="S168" i="8"/>
  <c r="S169" i="8"/>
  <c r="S170" i="8"/>
  <c r="S166" i="8"/>
  <c r="S160" i="8"/>
  <c r="S161" i="8"/>
  <c r="S162" i="8"/>
  <c r="S163" i="8"/>
  <c r="S154" i="8"/>
  <c r="S155" i="8"/>
  <c r="S156" i="8"/>
  <c r="S153" i="8"/>
  <c r="S150" i="8"/>
  <c r="S147" i="8"/>
  <c r="S148" i="8"/>
  <c r="S149" i="8"/>
  <c r="S146" i="8"/>
  <c r="S143" i="8"/>
  <c r="S142" i="8"/>
  <c r="S130" i="8"/>
  <c r="S131" i="8"/>
  <c r="S132" i="8"/>
  <c r="S133" i="8"/>
  <c r="S134" i="8"/>
  <c r="S135" i="8"/>
  <c r="S136" i="8"/>
  <c r="S137" i="8"/>
  <c r="S138" i="8"/>
  <c r="S139" i="8"/>
  <c r="S129" i="8"/>
  <c r="S124" i="8"/>
  <c r="S125" i="8"/>
  <c r="S126" i="8"/>
  <c r="S123" i="8"/>
  <c r="S120" i="8"/>
  <c r="S119" i="8"/>
  <c r="S114" i="8"/>
  <c r="S115" i="8"/>
  <c r="S116" i="8"/>
  <c r="S113" i="8"/>
  <c r="S84" i="8"/>
  <c r="S85" i="8"/>
  <c r="S86" i="8"/>
  <c r="S87" i="8"/>
  <c r="S88" i="8"/>
  <c r="S89" i="8"/>
  <c r="S90" i="8"/>
  <c r="S91" i="8"/>
  <c r="S92" i="8"/>
  <c r="S93" i="8"/>
  <c r="S94" i="8"/>
  <c r="S95" i="8"/>
  <c r="S96" i="8"/>
  <c r="S97" i="8"/>
  <c r="S98" i="8"/>
  <c r="S99" i="8"/>
  <c r="S100" i="8"/>
  <c r="S101" i="8"/>
  <c r="S102" i="8"/>
  <c r="S103" i="8"/>
  <c r="S104" i="8"/>
  <c r="S105" i="8"/>
  <c r="S106" i="8"/>
  <c r="S107" i="8"/>
  <c r="S108" i="8"/>
  <c r="S109" i="8"/>
  <c r="S110" i="8"/>
  <c r="S83" i="8"/>
  <c r="S64" i="8"/>
  <c r="S65" i="8"/>
  <c r="S66" i="8"/>
  <c r="S67" i="8"/>
  <c r="S68" i="8"/>
  <c r="S69" i="8"/>
  <c r="S70" i="8"/>
  <c r="S71" i="8"/>
  <c r="S72" i="8"/>
  <c r="S73" i="8"/>
  <c r="S74" i="8"/>
  <c r="S75" i="8"/>
  <c r="S76" i="8"/>
  <c r="S77" i="8"/>
  <c r="S78" i="8"/>
  <c r="S79" i="8"/>
  <c r="S80" i="8"/>
  <c r="S63" i="8"/>
  <c r="S57" i="8"/>
  <c r="S58" i="8"/>
  <c r="S59" i="8"/>
  <c r="S56" i="8"/>
  <c r="S49" i="8"/>
  <c r="S50" i="8"/>
  <c r="S51" i="8"/>
  <c r="S52" i="8"/>
  <c r="S53" i="8"/>
  <c r="S48" i="8"/>
  <c r="S44" i="8"/>
  <c r="S45" i="8"/>
  <c r="S43" i="8"/>
  <c r="S40" i="8"/>
  <c r="S30" i="8"/>
  <c r="S31" i="8"/>
  <c r="S32" i="8"/>
  <c r="S33" i="8"/>
  <c r="S34" i="8"/>
  <c r="S35" i="8"/>
  <c r="S36" i="8"/>
  <c r="S37" i="8"/>
  <c r="S29" i="8"/>
  <c r="S15" i="8"/>
  <c r="S16" i="8"/>
  <c r="S17" i="8"/>
  <c r="S18" i="8"/>
  <c r="S19" i="8"/>
  <c r="S20" i="8"/>
  <c r="S21" i="8"/>
  <c r="S22" i="8"/>
  <c r="S23" i="8"/>
  <c r="S24" i="8"/>
  <c r="S25" i="8"/>
  <c r="S26" i="8"/>
  <c r="S14" i="8"/>
  <c r="Q238" i="8"/>
  <c r="C238" i="8"/>
  <c r="Q237" i="8"/>
  <c r="C237" i="8"/>
  <c r="Q236" i="8"/>
  <c r="C236" i="8"/>
  <c r="Q235" i="8"/>
  <c r="Q239" i="8" s="1"/>
  <c r="C235" i="8"/>
  <c r="C239" i="8" s="1"/>
  <c r="F232" i="8"/>
  <c r="E232" i="8"/>
  <c r="G232" i="8" s="1"/>
  <c r="C232" i="8"/>
  <c r="G231" i="8"/>
  <c r="I231" i="8" s="1"/>
  <c r="I232" i="8" s="1"/>
  <c r="G230" i="8"/>
  <c r="F228" i="8"/>
  <c r="E228" i="8"/>
  <c r="G228" i="8" s="1"/>
  <c r="C228" i="8"/>
  <c r="K227" i="8"/>
  <c r="K228" i="8" s="1"/>
  <c r="G227" i="8"/>
  <c r="G225" i="8"/>
  <c r="F225" i="8"/>
  <c r="E225" i="8"/>
  <c r="C225" i="8"/>
  <c r="G224" i="8"/>
  <c r="G223" i="8"/>
  <c r="K223" i="8" s="1"/>
  <c r="F221" i="8"/>
  <c r="C221" i="8"/>
  <c r="E220" i="8"/>
  <c r="G220" i="8" s="1"/>
  <c r="P220" i="8" s="1"/>
  <c r="R220" i="8" s="1"/>
  <c r="S220" i="8" s="1"/>
  <c r="G219" i="8"/>
  <c r="K218" i="8"/>
  <c r="I218" i="8"/>
  <c r="G218" i="8"/>
  <c r="L217" i="8"/>
  <c r="K217" i="8"/>
  <c r="K221" i="8" s="1"/>
  <c r="G217" i="8"/>
  <c r="I215" i="8"/>
  <c r="G215" i="8"/>
  <c r="F215" i="8"/>
  <c r="E215" i="8"/>
  <c r="C215" i="8"/>
  <c r="G214" i="8"/>
  <c r="P214" i="8" s="1"/>
  <c r="R214" i="8" s="1"/>
  <c r="S214" i="8" s="1"/>
  <c r="I213" i="8"/>
  <c r="G213" i="8"/>
  <c r="L212" i="8"/>
  <c r="L215" i="8" s="1"/>
  <c r="K212" i="8"/>
  <c r="K215" i="8" s="1"/>
  <c r="G212" i="8"/>
  <c r="G210" i="8"/>
  <c r="F210" i="8"/>
  <c r="E210" i="8"/>
  <c r="C210" i="8"/>
  <c r="I209" i="8"/>
  <c r="I210" i="8" s="1"/>
  <c r="G209" i="8"/>
  <c r="K208" i="8"/>
  <c r="G208" i="8"/>
  <c r="G206" i="8"/>
  <c r="F206" i="8"/>
  <c r="E206" i="8"/>
  <c r="C206" i="8"/>
  <c r="G205" i="8"/>
  <c r="P205" i="8" s="1"/>
  <c r="R205" i="8" s="1"/>
  <c r="S205" i="8" s="1"/>
  <c r="G204" i="8"/>
  <c r="K203" i="8"/>
  <c r="K206" i="8" s="1"/>
  <c r="G203" i="8"/>
  <c r="G201" i="8"/>
  <c r="F201" i="8"/>
  <c r="E201" i="8"/>
  <c r="C201" i="8"/>
  <c r="G200" i="8"/>
  <c r="P200" i="8" s="1"/>
  <c r="R200" i="8" s="1"/>
  <c r="S200" i="8" s="1"/>
  <c r="G199" i="8"/>
  <c r="K198" i="8"/>
  <c r="K201" i="8" s="1"/>
  <c r="G198" i="8"/>
  <c r="G196" i="8"/>
  <c r="E196" i="8"/>
  <c r="C196" i="8"/>
  <c r="G195" i="8"/>
  <c r="P195" i="8" s="1"/>
  <c r="R195" i="8" s="1"/>
  <c r="S195" i="8" s="1"/>
  <c r="G194" i="8"/>
  <c r="I194" i="8" s="1"/>
  <c r="I196" i="8" s="1"/>
  <c r="G193" i="8"/>
  <c r="E191" i="8"/>
  <c r="G191" i="8" s="1"/>
  <c r="C191" i="8"/>
  <c r="P190" i="8"/>
  <c r="R190" i="8" s="1"/>
  <c r="S190" i="8" s="1"/>
  <c r="G190" i="8"/>
  <c r="P189" i="8"/>
  <c r="I189" i="8"/>
  <c r="I191" i="8" s="1"/>
  <c r="G189" i="8"/>
  <c r="L188" i="8"/>
  <c r="L191" i="8" s="1"/>
  <c r="K188" i="8"/>
  <c r="K191" i="8" s="1"/>
  <c r="G188" i="8"/>
  <c r="M185" i="8"/>
  <c r="K185" i="8"/>
  <c r="E185" i="8"/>
  <c r="C185" i="8"/>
  <c r="P184" i="8"/>
  <c r="P185" i="8" s="1"/>
  <c r="I184" i="8"/>
  <c r="I185" i="8" s="1"/>
  <c r="G184" i="8"/>
  <c r="R184" i="8" s="1"/>
  <c r="G183" i="8"/>
  <c r="K183" i="8" s="1"/>
  <c r="F182" i="8"/>
  <c r="F185" i="8" s="1"/>
  <c r="E182" i="8"/>
  <c r="O180" i="8"/>
  <c r="I180" i="8"/>
  <c r="C180" i="8"/>
  <c r="G179" i="8"/>
  <c r="I178" i="8"/>
  <c r="G178" i="8"/>
  <c r="E177" i="8"/>
  <c r="G177" i="8" s="1"/>
  <c r="G176" i="8"/>
  <c r="K175" i="8"/>
  <c r="G175" i="8"/>
  <c r="E174" i="8"/>
  <c r="G174" i="8" s="1"/>
  <c r="G173" i="8"/>
  <c r="F173" i="8"/>
  <c r="F180" i="8" s="1"/>
  <c r="O171" i="8"/>
  <c r="I171" i="8"/>
  <c r="C171" i="8"/>
  <c r="G170" i="8"/>
  <c r="I169" i="8"/>
  <c r="G169" i="8"/>
  <c r="L168" i="8"/>
  <c r="K168" i="8"/>
  <c r="R168" i="8" s="1"/>
  <c r="G168" i="8"/>
  <c r="G167" i="8"/>
  <c r="K167" i="8" s="1"/>
  <c r="G166" i="8"/>
  <c r="F166" i="8"/>
  <c r="F171" i="8" s="1"/>
  <c r="E166" i="8"/>
  <c r="E171" i="8" s="1"/>
  <c r="O164" i="8"/>
  <c r="M164" i="8"/>
  <c r="C164" i="8"/>
  <c r="R163" i="8"/>
  <c r="P163" i="8"/>
  <c r="G163" i="8"/>
  <c r="G162" i="8"/>
  <c r="I162" i="8" s="1"/>
  <c r="I164" i="8" s="1"/>
  <c r="G161" i="8"/>
  <c r="E161" i="8"/>
  <c r="E160" i="8"/>
  <c r="G160" i="8" s="1"/>
  <c r="E159" i="8"/>
  <c r="E164" i="8" s="1"/>
  <c r="O157" i="8"/>
  <c r="M157" i="8"/>
  <c r="F157" i="8"/>
  <c r="C157" i="8"/>
  <c r="G156" i="8"/>
  <c r="I156" i="8" s="1"/>
  <c r="I157" i="8" s="1"/>
  <c r="G155" i="8"/>
  <c r="K154" i="8"/>
  <c r="L154" i="8" s="1"/>
  <c r="G154" i="8"/>
  <c r="E154" i="8"/>
  <c r="G153" i="8"/>
  <c r="F153" i="8"/>
  <c r="E153" i="8"/>
  <c r="E157" i="8" s="1"/>
  <c r="C151" i="8"/>
  <c r="G150" i="8"/>
  <c r="P150" i="8" s="1"/>
  <c r="E149" i="8"/>
  <c r="G149" i="8" s="1"/>
  <c r="R148" i="8"/>
  <c r="P148" i="8"/>
  <c r="I148" i="8"/>
  <c r="I151" i="8" s="1"/>
  <c r="G148" i="8"/>
  <c r="G147" i="8"/>
  <c r="K147" i="8" s="1"/>
  <c r="E146" i="8"/>
  <c r="E151" i="8" s="1"/>
  <c r="E144" i="8"/>
  <c r="C144" i="8"/>
  <c r="N143" i="8"/>
  <c r="N144" i="8" s="1"/>
  <c r="E143" i="8"/>
  <c r="G143" i="8" s="1"/>
  <c r="P143" i="8" s="1"/>
  <c r="P144" i="8" s="1"/>
  <c r="N142" i="8"/>
  <c r="G142" i="8"/>
  <c r="K142" i="8" s="1"/>
  <c r="K144" i="8" s="1"/>
  <c r="E142" i="8"/>
  <c r="O140" i="8"/>
  <c r="M140" i="8"/>
  <c r="C140" i="8"/>
  <c r="E139" i="8"/>
  <c r="G139" i="8" s="1"/>
  <c r="K138" i="8"/>
  <c r="G138" i="8"/>
  <c r="L137" i="8"/>
  <c r="K137" i="8"/>
  <c r="R137" i="8" s="1"/>
  <c r="G137" i="8"/>
  <c r="G136" i="8"/>
  <c r="E136" i="8"/>
  <c r="L135" i="8"/>
  <c r="K135" i="8"/>
  <c r="R135" i="8" s="1"/>
  <c r="G135" i="8"/>
  <c r="G134" i="8"/>
  <c r="K134" i="8" s="1"/>
  <c r="G133" i="8"/>
  <c r="E133" i="8"/>
  <c r="E140" i="8" s="1"/>
  <c r="F130" i="8"/>
  <c r="G130" i="8" s="1"/>
  <c r="G129" i="8"/>
  <c r="F129" i="8"/>
  <c r="F140" i="8" s="1"/>
  <c r="C127" i="8"/>
  <c r="N126" i="8"/>
  <c r="N127" i="8" s="1"/>
  <c r="E126" i="8"/>
  <c r="N125" i="8"/>
  <c r="F125" i="8"/>
  <c r="E125" i="8"/>
  <c r="E124" i="8"/>
  <c r="E123" i="8"/>
  <c r="F123" i="8" s="1"/>
  <c r="E120" i="8"/>
  <c r="F120" i="8" s="1"/>
  <c r="G120" i="8" s="1"/>
  <c r="E119" i="8"/>
  <c r="F119" i="8" s="1"/>
  <c r="F121" i="8" s="1"/>
  <c r="C117" i="8"/>
  <c r="E116" i="8"/>
  <c r="E115" i="8"/>
  <c r="G114" i="8"/>
  <c r="F114" i="8"/>
  <c r="F113" i="8"/>
  <c r="E113" i="8"/>
  <c r="C111" i="8"/>
  <c r="P110" i="8"/>
  <c r="P111" i="8" s="1"/>
  <c r="G110" i="8"/>
  <c r="E110" i="8"/>
  <c r="P109" i="8"/>
  <c r="R109" i="8" s="1"/>
  <c r="G109" i="8"/>
  <c r="F108" i="8"/>
  <c r="G108" i="8" s="1"/>
  <c r="E108" i="8"/>
  <c r="E107" i="8"/>
  <c r="G107" i="8" s="1"/>
  <c r="G106" i="8"/>
  <c r="E106" i="8"/>
  <c r="G105" i="8"/>
  <c r="K105" i="8" s="1"/>
  <c r="G104" i="8"/>
  <c r="F104" i="8"/>
  <c r="E103" i="8"/>
  <c r="G103" i="8" s="1"/>
  <c r="G102" i="8"/>
  <c r="E101" i="8"/>
  <c r="G101" i="8" s="1"/>
  <c r="K101" i="8" s="1"/>
  <c r="E100" i="8"/>
  <c r="G100" i="8" s="1"/>
  <c r="K99" i="8"/>
  <c r="L99" i="8" s="1"/>
  <c r="R99" i="8" s="1"/>
  <c r="G99" i="8"/>
  <c r="G98" i="8"/>
  <c r="K98" i="8" s="1"/>
  <c r="G97" i="8"/>
  <c r="G96" i="8"/>
  <c r="G95" i="8"/>
  <c r="K94" i="8"/>
  <c r="G94" i="8"/>
  <c r="E93" i="8"/>
  <c r="G93" i="8" s="1"/>
  <c r="E92" i="8"/>
  <c r="F92" i="8" s="1"/>
  <c r="G92" i="8" s="1"/>
  <c r="E91" i="8"/>
  <c r="G91" i="8" s="1"/>
  <c r="E90" i="8"/>
  <c r="G89" i="8"/>
  <c r="F89" i="8"/>
  <c r="E88" i="8"/>
  <c r="G87" i="8"/>
  <c r="K86" i="8"/>
  <c r="G86" i="8"/>
  <c r="F85" i="8"/>
  <c r="G85" i="8" s="1"/>
  <c r="G84" i="8"/>
  <c r="F83" i="8"/>
  <c r="C81" i="8"/>
  <c r="P80" i="8"/>
  <c r="R80" i="8" s="1"/>
  <c r="G80" i="8"/>
  <c r="P79" i="8"/>
  <c r="R79" i="8" s="1"/>
  <c r="G79" i="8"/>
  <c r="N78" i="8"/>
  <c r="E78" i="8"/>
  <c r="E237" i="8" s="1"/>
  <c r="K77" i="8"/>
  <c r="G77" i="8"/>
  <c r="I77" i="8" s="1"/>
  <c r="L77" i="8" s="1"/>
  <c r="N76" i="8"/>
  <c r="E76" i="8"/>
  <c r="E236" i="8" s="1"/>
  <c r="G75" i="8"/>
  <c r="K75" i="8" s="1"/>
  <c r="R75" i="8" s="1"/>
  <c r="F75" i="8"/>
  <c r="G74" i="8"/>
  <c r="E74" i="8"/>
  <c r="N73" i="8"/>
  <c r="E73" i="8"/>
  <c r="G73" i="8" s="1"/>
  <c r="E72" i="8"/>
  <c r="G72" i="8" s="1"/>
  <c r="E71" i="8"/>
  <c r="G71" i="8" s="1"/>
  <c r="E70" i="8"/>
  <c r="G70" i="8" s="1"/>
  <c r="E69" i="8"/>
  <c r="G69" i="8" s="1"/>
  <c r="N68" i="8"/>
  <c r="N81" i="8" s="1"/>
  <c r="N233" i="8" s="1"/>
  <c r="G68" i="8"/>
  <c r="K68" i="8" s="1"/>
  <c r="L68" i="8" s="1"/>
  <c r="E68" i="8"/>
  <c r="E81" i="8" s="1"/>
  <c r="G67" i="8"/>
  <c r="E67" i="8"/>
  <c r="G66" i="8"/>
  <c r="K66" i="8" s="1"/>
  <c r="L66" i="8" s="1"/>
  <c r="K65" i="8"/>
  <c r="G65" i="8"/>
  <c r="L65" i="8" s="1"/>
  <c r="R65" i="8" s="1"/>
  <c r="G64" i="8"/>
  <c r="E64" i="8"/>
  <c r="G63" i="8"/>
  <c r="K63" i="8" s="1"/>
  <c r="F63" i="8"/>
  <c r="F81" i="8" s="1"/>
  <c r="Q60" i="8"/>
  <c r="Q233" i="8" s="1"/>
  <c r="E60" i="8"/>
  <c r="G59" i="8"/>
  <c r="F58" i="8"/>
  <c r="G58" i="8" s="1"/>
  <c r="F57" i="8"/>
  <c r="G57" i="8" s="1"/>
  <c r="F56" i="8"/>
  <c r="F60" i="8" s="1"/>
  <c r="E56" i="8"/>
  <c r="G56" i="8" s="1"/>
  <c r="C54" i="8"/>
  <c r="K53" i="8"/>
  <c r="L53" i="8" s="1"/>
  <c r="R53" i="8" s="1"/>
  <c r="G53" i="8"/>
  <c r="P52" i="8"/>
  <c r="P54" i="8" s="1"/>
  <c r="G52" i="8"/>
  <c r="O51" i="8"/>
  <c r="O54" i="8" s="1"/>
  <c r="K50" i="8"/>
  <c r="L50" i="8" s="1"/>
  <c r="R50" i="8" s="1"/>
  <c r="G49" i="8"/>
  <c r="L49" i="8" s="1"/>
  <c r="R49" i="8" s="1"/>
  <c r="E49" i="8"/>
  <c r="G48" i="8"/>
  <c r="K48" i="8" s="1"/>
  <c r="K54" i="8" s="1"/>
  <c r="E48" i="8"/>
  <c r="E235" i="8" s="1"/>
  <c r="C46" i="8"/>
  <c r="P45" i="8"/>
  <c r="I45" i="8"/>
  <c r="I46" i="8" s="1"/>
  <c r="G45" i="8"/>
  <c r="R45" i="8" s="1"/>
  <c r="E45" i="8"/>
  <c r="E44" i="8"/>
  <c r="E46" i="8" s="1"/>
  <c r="P43" i="8"/>
  <c r="R43" i="8" s="1"/>
  <c r="E41" i="8"/>
  <c r="G41" i="8" s="1"/>
  <c r="C41" i="8"/>
  <c r="P40" i="8"/>
  <c r="P41" i="8" s="1"/>
  <c r="G40" i="8"/>
  <c r="E40" i="8"/>
  <c r="I38" i="8"/>
  <c r="C38" i="8"/>
  <c r="G37" i="8"/>
  <c r="P37" i="8" s="1"/>
  <c r="G36" i="8"/>
  <c r="P36" i="8" s="1"/>
  <c r="P35" i="8"/>
  <c r="J35" i="8"/>
  <c r="J38" i="8" s="1"/>
  <c r="G35" i="8"/>
  <c r="R35" i="8" s="1"/>
  <c r="F35" i="8"/>
  <c r="F38" i="8" s="1"/>
  <c r="R34" i="8"/>
  <c r="P34" i="8"/>
  <c r="G34" i="8"/>
  <c r="E34" i="8"/>
  <c r="E33" i="8"/>
  <c r="G33" i="8" s="1"/>
  <c r="G32" i="8"/>
  <c r="E32" i="8"/>
  <c r="P31" i="8"/>
  <c r="G31" i="8"/>
  <c r="R31" i="8" s="1"/>
  <c r="E31" i="8"/>
  <c r="R30" i="8"/>
  <c r="P30" i="8"/>
  <c r="G30" i="8"/>
  <c r="E30" i="8"/>
  <c r="E29" i="8"/>
  <c r="C27" i="8"/>
  <c r="C233" i="8" s="1"/>
  <c r="O26" i="8"/>
  <c r="H26" i="8"/>
  <c r="G26" i="8"/>
  <c r="E26" i="8"/>
  <c r="G25" i="8"/>
  <c r="G24" i="8"/>
  <c r="O23" i="8"/>
  <c r="H23" i="8"/>
  <c r="G23" i="8"/>
  <c r="E23" i="8"/>
  <c r="G22" i="8"/>
  <c r="H21" i="8"/>
  <c r="R21" i="8" s="1"/>
  <c r="G21" i="8"/>
  <c r="O21" i="8" s="1"/>
  <c r="G20" i="8"/>
  <c r="H20" i="8" s="1"/>
  <c r="O19" i="8"/>
  <c r="G19" i="8"/>
  <c r="H19" i="8" s="1"/>
  <c r="E19" i="8"/>
  <c r="O18" i="8"/>
  <c r="E18" i="8"/>
  <c r="G18" i="8" s="1"/>
  <c r="R18" i="8" s="1"/>
  <c r="K17" i="8"/>
  <c r="K27" i="8" s="1"/>
  <c r="G17" i="8"/>
  <c r="O17" i="8" s="1"/>
  <c r="R16" i="8"/>
  <c r="G16" i="8"/>
  <c r="E16" i="8"/>
  <c r="E15" i="8"/>
  <c r="E238" i="8" s="1"/>
  <c r="O14" i="8"/>
  <c r="M14" i="8"/>
  <c r="R14" i="8" s="1"/>
  <c r="S231" i="7"/>
  <c r="S230" i="7"/>
  <c r="S227" i="7"/>
  <c r="S224" i="7"/>
  <c r="S223" i="7"/>
  <c r="S218" i="7"/>
  <c r="S219" i="7"/>
  <c r="S217" i="7"/>
  <c r="S213" i="7"/>
  <c r="S212" i="7"/>
  <c r="S209" i="7"/>
  <c r="S208" i="7"/>
  <c r="S204" i="7"/>
  <c r="S203" i="7"/>
  <c r="S199" i="7"/>
  <c r="S198" i="7"/>
  <c r="S194" i="7"/>
  <c r="S193" i="7"/>
  <c r="S189" i="7"/>
  <c r="S188" i="7"/>
  <c r="S183" i="7"/>
  <c r="S184" i="7"/>
  <c r="S182" i="7"/>
  <c r="S174" i="7"/>
  <c r="S175" i="7"/>
  <c r="S176" i="7"/>
  <c r="S177" i="7"/>
  <c r="S178" i="7"/>
  <c r="S179" i="7"/>
  <c r="S173" i="7"/>
  <c r="S167" i="7"/>
  <c r="S168" i="7"/>
  <c r="S169" i="7"/>
  <c r="S170" i="7"/>
  <c r="S166" i="7"/>
  <c r="S160" i="7"/>
  <c r="S161" i="7"/>
  <c r="S162" i="7"/>
  <c r="S163" i="7"/>
  <c r="S159" i="7"/>
  <c r="S154" i="7"/>
  <c r="S155" i="7"/>
  <c r="S156" i="7"/>
  <c r="S153" i="7"/>
  <c r="S150" i="7"/>
  <c r="S147" i="7"/>
  <c r="S148" i="7"/>
  <c r="S146" i="7"/>
  <c r="S143" i="7"/>
  <c r="S142" i="7"/>
  <c r="S134" i="7"/>
  <c r="S135" i="7"/>
  <c r="S136" i="7"/>
  <c r="S137" i="7"/>
  <c r="S138" i="7"/>
  <c r="S139" i="7"/>
  <c r="S133" i="7"/>
  <c r="S130" i="7"/>
  <c r="S129" i="7"/>
  <c r="S124" i="7"/>
  <c r="S125" i="7"/>
  <c r="S126" i="7"/>
  <c r="S123" i="7"/>
  <c r="S120" i="7"/>
  <c r="S119" i="7"/>
  <c r="S114" i="7"/>
  <c r="S115" i="7"/>
  <c r="S116" i="7"/>
  <c r="S113" i="7"/>
  <c r="S84" i="7"/>
  <c r="S85" i="7"/>
  <c r="S86" i="7"/>
  <c r="S87" i="7"/>
  <c r="S88" i="7"/>
  <c r="S89" i="7"/>
  <c r="S90" i="7"/>
  <c r="S91" i="7"/>
  <c r="S92" i="7"/>
  <c r="S93" i="7"/>
  <c r="S94" i="7"/>
  <c r="S95" i="7"/>
  <c r="S96" i="7"/>
  <c r="S97" i="7"/>
  <c r="S98" i="7"/>
  <c r="S99" i="7"/>
  <c r="S100" i="7"/>
  <c r="S101" i="7"/>
  <c r="S102" i="7"/>
  <c r="S103" i="7"/>
  <c r="S104" i="7"/>
  <c r="S105" i="7"/>
  <c r="S106" i="7"/>
  <c r="S107" i="7"/>
  <c r="S108" i="7"/>
  <c r="S109" i="7"/>
  <c r="S110" i="7"/>
  <c r="S83" i="7"/>
  <c r="S64" i="7"/>
  <c r="S65" i="7"/>
  <c r="S66" i="7"/>
  <c r="S67" i="7"/>
  <c r="S68" i="7"/>
  <c r="S69" i="7"/>
  <c r="S70" i="7"/>
  <c r="S71" i="7"/>
  <c r="S72" i="7"/>
  <c r="S73" i="7"/>
  <c r="S74" i="7"/>
  <c r="S75" i="7"/>
  <c r="S76" i="7"/>
  <c r="S77" i="7"/>
  <c r="S78" i="7"/>
  <c r="S79" i="7"/>
  <c r="S80" i="7"/>
  <c r="S63" i="7"/>
  <c r="S57" i="7"/>
  <c r="S58" i="7"/>
  <c r="S59" i="7"/>
  <c r="S56" i="7"/>
  <c r="S49" i="7"/>
  <c r="S50" i="7"/>
  <c r="S51" i="7"/>
  <c r="S52" i="7"/>
  <c r="S53" i="7"/>
  <c r="S48" i="7"/>
  <c r="S44" i="7"/>
  <c r="S45" i="7"/>
  <c r="S43" i="7"/>
  <c r="S40" i="7"/>
  <c r="S30" i="7"/>
  <c r="S31" i="7"/>
  <c r="S32" i="7"/>
  <c r="S33" i="7"/>
  <c r="S34" i="7"/>
  <c r="S35" i="7"/>
  <c r="S36" i="7"/>
  <c r="S37" i="7"/>
  <c r="S29" i="7"/>
  <c r="S15" i="7"/>
  <c r="S16" i="7"/>
  <c r="S17" i="7"/>
  <c r="S18" i="7"/>
  <c r="S19" i="7"/>
  <c r="S20" i="7"/>
  <c r="S21" i="7"/>
  <c r="S22" i="7"/>
  <c r="S23" i="7"/>
  <c r="S24" i="7"/>
  <c r="S25" i="7"/>
  <c r="S26" i="7"/>
  <c r="S14" i="7"/>
  <c r="Q238" i="7"/>
  <c r="C238" i="7"/>
  <c r="Q237" i="7"/>
  <c r="C237" i="7"/>
  <c r="Q236" i="7"/>
  <c r="C236" i="7"/>
  <c r="Q235" i="7"/>
  <c r="Q239" i="7" s="1"/>
  <c r="C235" i="7"/>
  <c r="F232" i="7"/>
  <c r="E232" i="7"/>
  <c r="G232" i="7" s="1"/>
  <c r="C232" i="7"/>
  <c r="P231" i="7"/>
  <c r="P232" i="7" s="1"/>
  <c r="G231" i="7"/>
  <c r="I231" i="7" s="1"/>
  <c r="I232" i="7" s="1"/>
  <c r="G230" i="7"/>
  <c r="G228" i="7"/>
  <c r="F228" i="7"/>
  <c r="E228" i="7"/>
  <c r="C228" i="7"/>
  <c r="G227" i="7"/>
  <c r="F225" i="7"/>
  <c r="G225" i="7" s="1"/>
  <c r="E225" i="7"/>
  <c r="C225" i="7"/>
  <c r="G224" i="7"/>
  <c r="G223" i="7"/>
  <c r="K223" i="7" s="1"/>
  <c r="F221" i="7"/>
  <c r="E221" i="7"/>
  <c r="G221" i="7" s="1"/>
  <c r="C221" i="7"/>
  <c r="E220" i="7"/>
  <c r="G220" i="7" s="1"/>
  <c r="P220" i="7" s="1"/>
  <c r="R220" i="7" s="1"/>
  <c r="S220" i="7" s="1"/>
  <c r="G219" i="7"/>
  <c r="K218" i="7"/>
  <c r="I218" i="7"/>
  <c r="G218" i="7"/>
  <c r="L217" i="7"/>
  <c r="K217" i="7"/>
  <c r="K221" i="7" s="1"/>
  <c r="G217" i="7"/>
  <c r="G215" i="7"/>
  <c r="F215" i="7"/>
  <c r="E215" i="7"/>
  <c r="C215" i="7"/>
  <c r="G214" i="7"/>
  <c r="P214" i="7" s="1"/>
  <c r="R214" i="7" s="1"/>
  <c r="S214" i="7" s="1"/>
  <c r="G213" i="7"/>
  <c r="K212" i="7"/>
  <c r="G212" i="7"/>
  <c r="G210" i="7"/>
  <c r="F210" i="7"/>
  <c r="E210" i="7"/>
  <c r="C210" i="7"/>
  <c r="G209" i="7"/>
  <c r="G208" i="7"/>
  <c r="K208" i="7" s="1"/>
  <c r="F206" i="7"/>
  <c r="G206" i="7" s="1"/>
  <c r="E206" i="7"/>
  <c r="C206" i="7"/>
  <c r="G205" i="7"/>
  <c r="P205" i="7" s="1"/>
  <c r="R205" i="7" s="1"/>
  <c r="S205" i="7" s="1"/>
  <c r="G204" i="7"/>
  <c r="K203" i="7"/>
  <c r="K206" i="7" s="1"/>
  <c r="G203" i="7"/>
  <c r="G201" i="7"/>
  <c r="F201" i="7"/>
  <c r="E201" i="7"/>
  <c r="C201" i="7"/>
  <c r="G200" i="7"/>
  <c r="P200" i="7" s="1"/>
  <c r="R200" i="7" s="1"/>
  <c r="S200" i="7" s="1"/>
  <c r="G199" i="7"/>
  <c r="K198" i="7"/>
  <c r="K201" i="7" s="1"/>
  <c r="G198" i="7"/>
  <c r="G196" i="7"/>
  <c r="E196" i="7"/>
  <c r="C196" i="7"/>
  <c r="P195" i="7"/>
  <c r="R195" i="7" s="1"/>
  <c r="S195" i="7" s="1"/>
  <c r="G195" i="7"/>
  <c r="P194" i="7"/>
  <c r="P196" i="7" s="1"/>
  <c r="G194" i="7"/>
  <c r="I194" i="7" s="1"/>
  <c r="G193" i="7"/>
  <c r="E191" i="7"/>
  <c r="G191" i="7" s="1"/>
  <c r="C191" i="7"/>
  <c r="P190" i="7"/>
  <c r="R190" i="7" s="1"/>
  <c r="S190" i="7" s="1"/>
  <c r="G190" i="7"/>
  <c r="P189" i="7"/>
  <c r="I189" i="7"/>
  <c r="G189" i="7"/>
  <c r="K188" i="7"/>
  <c r="G188" i="7"/>
  <c r="M185" i="7"/>
  <c r="K185" i="7"/>
  <c r="E185" i="7"/>
  <c r="C185" i="7"/>
  <c r="P184" i="7"/>
  <c r="P185" i="7" s="1"/>
  <c r="I184" i="7"/>
  <c r="G184" i="7"/>
  <c r="R183" i="7"/>
  <c r="L183" i="7"/>
  <c r="G183" i="7"/>
  <c r="K183" i="7" s="1"/>
  <c r="F182" i="7"/>
  <c r="F185" i="7" s="1"/>
  <c r="E182" i="7"/>
  <c r="O180" i="7"/>
  <c r="C180" i="7"/>
  <c r="G179" i="7"/>
  <c r="G178" i="7"/>
  <c r="E177" i="7"/>
  <c r="G177" i="7" s="1"/>
  <c r="G176" i="7"/>
  <c r="G175" i="7"/>
  <c r="E174" i="7"/>
  <c r="G174" i="7" s="1"/>
  <c r="F173" i="7"/>
  <c r="O171" i="7"/>
  <c r="C171" i="7"/>
  <c r="G170" i="7"/>
  <c r="I169" i="7"/>
  <c r="I171" i="7" s="1"/>
  <c r="G169" i="7"/>
  <c r="K168" i="7"/>
  <c r="L168" i="7" s="1"/>
  <c r="G168" i="7"/>
  <c r="L167" i="7"/>
  <c r="R167" i="7" s="1"/>
  <c r="K167" i="7"/>
  <c r="G167" i="7"/>
  <c r="F166" i="7"/>
  <c r="F171" i="7" s="1"/>
  <c r="E166" i="7"/>
  <c r="E171" i="7" s="1"/>
  <c r="P164" i="7"/>
  <c r="O164" i="7"/>
  <c r="M164" i="7"/>
  <c r="F164" i="7"/>
  <c r="C164" i="7"/>
  <c r="R163" i="7"/>
  <c r="P163" i="7"/>
  <c r="G163" i="7"/>
  <c r="P162" i="7"/>
  <c r="R162" i="7" s="1"/>
  <c r="I162" i="7"/>
  <c r="I164" i="7" s="1"/>
  <c r="G162" i="7"/>
  <c r="G161" i="7"/>
  <c r="E161" i="7"/>
  <c r="E164" i="7" s="1"/>
  <c r="E160" i="7"/>
  <c r="G160" i="7" s="1"/>
  <c r="F159" i="7"/>
  <c r="G159" i="7" s="1"/>
  <c r="E159" i="7"/>
  <c r="P157" i="7"/>
  <c r="O157" i="7"/>
  <c r="M157" i="7"/>
  <c r="C157" i="7"/>
  <c r="R156" i="7"/>
  <c r="P156" i="7"/>
  <c r="G156" i="7"/>
  <c r="I156" i="7" s="1"/>
  <c r="I157" i="7" s="1"/>
  <c r="G155" i="7"/>
  <c r="G154" i="7"/>
  <c r="E154" i="7"/>
  <c r="F153" i="7"/>
  <c r="F157" i="7" s="1"/>
  <c r="E153" i="7"/>
  <c r="C151" i="7"/>
  <c r="R150" i="7"/>
  <c r="G150" i="7"/>
  <c r="P150" i="7" s="1"/>
  <c r="E149" i="7"/>
  <c r="G149" i="7" s="1"/>
  <c r="I148" i="7"/>
  <c r="I151" i="7" s="1"/>
  <c r="G148" i="7"/>
  <c r="L147" i="7"/>
  <c r="K147" i="7"/>
  <c r="G147" i="7"/>
  <c r="E146" i="7"/>
  <c r="N144" i="7"/>
  <c r="E144" i="7"/>
  <c r="C144" i="7"/>
  <c r="R143" i="7"/>
  <c r="P143" i="7"/>
  <c r="P144" i="7" s="1"/>
  <c r="N143" i="7"/>
  <c r="E143" i="7"/>
  <c r="G143" i="7" s="1"/>
  <c r="N142" i="7"/>
  <c r="E142" i="7"/>
  <c r="G142" i="7" s="1"/>
  <c r="O140" i="7"/>
  <c r="M140" i="7"/>
  <c r="C140" i="7"/>
  <c r="E139" i="7"/>
  <c r="G139" i="7" s="1"/>
  <c r="K138" i="7"/>
  <c r="G138" i="7"/>
  <c r="R137" i="7"/>
  <c r="G137" i="7"/>
  <c r="K137" i="7" s="1"/>
  <c r="L137" i="7" s="1"/>
  <c r="G136" i="7"/>
  <c r="E136" i="7"/>
  <c r="G135" i="7"/>
  <c r="K135" i="7" s="1"/>
  <c r="L135" i="7" s="1"/>
  <c r="R135" i="7" s="1"/>
  <c r="G134" i="7"/>
  <c r="G133" i="7"/>
  <c r="E133" i="7"/>
  <c r="F130" i="7"/>
  <c r="K129" i="7"/>
  <c r="G129" i="7"/>
  <c r="F129" i="7"/>
  <c r="C127" i="7"/>
  <c r="N126" i="7"/>
  <c r="E126" i="7"/>
  <c r="P126" i="7" s="1"/>
  <c r="P127" i="7" s="1"/>
  <c r="N125" i="7"/>
  <c r="F125" i="7"/>
  <c r="G125" i="7" s="1"/>
  <c r="E125" i="7"/>
  <c r="F124" i="7"/>
  <c r="E124" i="7"/>
  <c r="E123" i="7"/>
  <c r="E121" i="7"/>
  <c r="F120" i="7"/>
  <c r="E120" i="7"/>
  <c r="F119" i="7"/>
  <c r="F121" i="7" s="1"/>
  <c r="E119" i="7"/>
  <c r="E117" i="7"/>
  <c r="C117" i="7"/>
  <c r="P116" i="7"/>
  <c r="P117" i="7" s="1"/>
  <c r="F116" i="7"/>
  <c r="G116" i="7" s="1"/>
  <c r="E116" i="7"/>
  <c r="I115" i="7"/>
  <c r="F115" i="7"/>
  <c r="E115" i="7"/>
  <c r="G115" i="7" s="1"/>
  <c r="G114" i="7"/>
  <c r="F114" i="7"/>
  <c r="F113" i="7"/>
  <c r="F117" i="7" s="1"/>
  <c r="E113" i="7"/>
  <c r="C111" i="7"/>
  <c r="G110" i="7"/>
  <c r="E110" i="7"/>
  <c r="P109" i="7"/>
  <c r="R109" i="7" s="1"/>
  <c r="G109" i="7"/>
  <c r="E108" i="7"/>
  <c r="K107" i="7"/>
  <c r="G107" i="7"/>
  <c r="I107" i="7" s="1"/>
  <c r="E107" i="7"/>
  <c r="G106" i="7"/>
  <c r="E106" i="7"/>
  <c r="L105" i="7"/>
  <c r="I105" i="7"/>
  <c r="G105" i="7"/>
  <c r="K105" i="7" s="1"/>
  <c r="G104" i="7"/>
  <c r="F104" i="7"/>
  <c r="L103" i="7"/>
  <c r="G103" i="7"/>
  <c r="K103" i="7" s="1"/>
  <c r="E103" i="7"/>
  <c r="G102" i="7"/>
  <c r="E101" i="7"/>
  <c r="G101" i="7" s="1"/>
  <c r="K101" i="7" s="1"/>
  <c r="E100" i="7"/>
  <c r="G100" i="7" s="1"/>
  <c r="K99" i="7"/>
  <c r="G99" i="7"/>
  <c r="G98" i="7"/>
  <c r="K98" i="7" s="1"/>
  <c r="L98" i="7" s="1"/>
  <c r="R97" i="7"/>
  <c r="K97" i="7"/>
  <c r="G97" i="7"/>
  <c r="L97" i="7" s="1"/>
  <c r="G96" i="7"/>
  <c r="K95" i="7"/>
  <c r="G95" i="7"/>
  <c r="L94" i="7"/>
  <c r="G94" i="7"/>
  <c r="K94" i="7" s="1"/>
  <c r="E93" i="7"/>
  <c r="G93" i="7" s="1"/>
  <c r="F92" i="7"/>
  <c r="E92" i="7"/>
  <c r="G92" i="7" s="1"/>
  <c r="G91" i="7"/>
  <c r="E91" i="7"/>
  <c r="E90" i="7"/>
  <c r="K89" i="7"/>
  <c r="F89" i="7"/>
  <c r="G89" i="7" s="1"/>
  <c r="E88" i="7"/>
  <c r="K87" i="7"/>
  <c r="L87" i="7" s="1"/>
  <c r="G87" i="7"/>
  <c r="G86" i="7"/>
  <c r="K85" i="7"/>
  <c r="F85" i="7"/>
  <c r="G85" i="7" s="1"/>
  <c r="R84" i="7"/>
  <c r="K84" i="7"/>
  <c r="L84" i="7" s="1"/>
  <c r="G84" i="7"/>
  <c r="G83" i="7"/>
  <c r="F83" i="7"/>
  <c r="C81" i="7"/>
  <c r="G80" i="7"/>
  <c r="P80" i="7" s="1"/>
  <c r="G79" i="7"/>
  <c r="P79" i="7" s="1"/>
  <c r="N78" i="7"/>
  <c r="G78" i="7"/>
  <c r="P78" i="7" s="1"/>
  <c r="P81" i="7" s="1"/>
  <c r="E78" i="7"/>
  <c r="G77" i="7"/>
  <c r="K77" i="7" s="1"/>
  <c r="N76" i="7"/>
  <c r="E76" i="7"/>
  <c r="E236" i="7" s="1"/>
  <c r="G75" i="7"/>
  <c r="K75" i="7" s="1"/>
  <c r="R75" i="7" s="1"/>
  <c r="F75" i="7"/>
  <c r="G74" i="7"/>
  <c r="E74" i="7"/>
  <c r="N73" i="7"/>
  <c r="E73" i="7"/>
  <c r="G73" i="7" s="1"/>
  <c r="E72" i="7"/>
  <c r="G72" i="7" s="1"/>
  <c r="E71" i="7"/>
  <c r="G71" i="7" s="1"/>
  <c r="E70" i="7"/>
  <c r="G70" i="7" s="1"/>
  <c r="E69" i="7"/>
  <c r="G69" i="7" s="1"/>
  <c r="N68" i="7"/>
  <c r="G68" i="7"/>
  <c r="K68" i="7" s="1"/>
  <c r="L68" i="7" s="1"/>
  <c r="E68" i="7"/>
  <c r="G67" i="7"/>
  <c r="E67" i="7"/>
  <c r="G66" i="7"/>
  <c r="K66" i="7" s="1"/>
  <c r="L66" i="7" s="1"/>
  <c r="K65" i="7"/>
  <c r="G65" i="7"/>
  <c r="L65" i="7" s="1"/>
  <c r="R65" i="7" s="1"/>
  <c r="G64" i="7"/>
  <c r="E64" i="7"/>
  <c r="G63" i="7"/>
  <c r="F63" i="7"/>
  <c r="F81" i="7" s="1"/>
  <c r="Q60" i="7"/>
  <c r="Q233" i="7" s="1"/>
  <c r="E60" i="7"/>
  <c r="G59" i="7"/>
  <c r="F58" i="7"/>
  <c r="G58" i="7" s="1"/>
  <c r="F57" i="7"/>
  <c r="G57" i="7" s="1"/>
  <c r="F56" i="7"/>
  <c r="F60" i="7" s="1"/>
  <c r="E56" i="7"/>
  <c r="G56" i="7" s="1"/>
  <c r="C54" i="7"/>
  <c r="K53" i="7"/>
  <c r="L53" i="7" s="1"/>
  <c r="R53" i="7" s="1"/>
  <c r="G53" i="7"/>
  <c r="P52" i="7"/>
  <c r="P54" i="7" s="1"/>
  <c r="G52" i="7"/>
  <c r="O51" i="7"/>
  <c r="O54" i="7" s="1"/>
  <c r="K50" i="7"/>
  <c r="G49" i="7"/>
  <c r="E49" i="7"/>
  <c r="G48" i="7"/>
  <c r="K48" i="7" s="1"/>
  <c r="E48" i="7"/>
  <c r="E46" i="7"/>
  <c r="C46" i="7"/>
  <c r="G45" i="7"/>
  <c r="E45" i="7"/>
  <c r="P44" i="7"/>
  <c r="G44" i="7"/>
  <c r="G46" i="7" s="1"/>
  <c r="E44" i="7"/>
  <c r="P43" i="7"/>
  <c r="R43" i="7" s="1"/>
  <c r="G41" i="7"/>
  <c r="E41" i="7"/>
  <c r="C41" i="7"/>
  <c r="G40" i="7"/>
  <c r="E40" i="7"/>
  <c r="I38" i="7"/>
  <c r="C38" i="7"/>
  <c r="G37" i="7"/>
  <c r="P37" i="7" s="1"/>
  <c r="R37" i="7" s="1"/>
  <c r="G36" i="7"/>
  <c r="P36" i="7" s="1"/>
  <c r="R36" i="7" s="1"/>
  <c r="P35" i="7"/>
  <c r="F35" i="7"/>
  <c r="F38" i="7" s="1"/>
  <c r="G34" i="7"/>
  <c r="E34" i="7"/>
  <c r="E33" i="7"/>
  <c r="G33" i="7" s="1"/>
  <c r="G32" i="7"/>
  <c r="P32" i="7" s="1"/>
  <c r="R32" i="7" s="1"/>
  <c r="E32" i="7"/>
  <c r="E31" i="7"/>
  <c r="G31" i="7" s="1"/>
  <c r="G30" i="7"/>
  <c r="E30" i="7"/>
  <c r="E29" i="7"/>
  <c r="E38" i="7" s="1"/>
  <c r="G38" i="7" s="1"/>
  <c r="C27" i="7"/>
  <c r="G26" i="7"/>
  <c r="E26" i="7"/>
  <c r="O25" i="7"/>
  <c r="G25" i="7"/>
  <c r="H25" i="7" s="1"/>
  <c r="H24" i="7"/>
  <c r="G24" i="7"/>
  <c r="O24" i="7" s="1"/>
  <c r="R24" i="7" s="1"/>
  <c r="G23" i="7"/>
  <c r="E23" i="7"/>
  <c r="O22" i="7"/>
  <c r="G22" i="7"/>
  <c r="H22" i="7" s="1"/>
  <c r="H21" i="7"/>
  <c r="G21" i="7"/>
  <c r="O21" i="7" s="1"/>
  <c r="R21" i="7" s="1"/>
  <c r="H20" i="7"/>
  <c r="G20" i="7"/>
  <c r="R20" i="7" s="1"/>
  <c r="O19" i="7"/>
  <c r="G19" i="7"/>
  <c r="E19" i="7"/>
  <c r="E18" i="7"/>
  <c r="G18" i="7" s="1"/>
  <c r="G17" i="7"/>
  <c r="O17" i="7" s="1"/>
  <c r="E16" i="7"/>
  <c r="R16" i="7" s="1"/>
  <c r="E15" i="7"/>
  <c r="E238" i="7" s="1"/>
  <c r="O14" i="7"/>
  <c r="M14" i="7"/>
  <c r="M27" i="7" s="1"/>
  <c r="M233" i="7" s="1"/>
  <c r="Q238" i="6"/>
  <c r="C238" i="6"/>
  <c r="Q237" i="6"/>
  <c r="Q239" i="6" s="1"/>
  <c r="C237" i="6"/>
  <c r="Q236" i="6"/>
  <c r="C236" i="6"/>
  <c r="C239" i="6" s="1"/>
  <c r="Q235" i="6"/>
  <c r="C235" i="6"/>
  <c r="Q233" i="6"/>
  <c r="F232" i="6"/>
  <c r="E232" i="6"/>
  <c r="G232" i="6" s="1"/>
  <c r="C232" i="6"/>
  <c r="P231" i="6"/>
  <c r="P232" i="6" s="1"/>
  <c r="G231" i="6"/>
  <c r="I231" i="6" s="1"/>
  <c r="K230" i="6"/>
  <c r="K232" i="6" s="1"/>
  <c r="G230" i="6"/>
  <c r="F228" i="6"/>
  <c r="E228" i="6"/>
  <c r="G228" i="6" s="1"/>
  <c r="C228" i="6"/>
  <c r="G227" i="6"/>
  <c r="P225" i="6"/>
  <c r="F225" i="6"/>
  <c r="E225" i="6"/>
  <c r="G225" i="6" s="1"/>
  <c r="C225" i="6"/>
  <c r="I224" i="6"/>
  <c r="I225" i="6" s="1"/>
  <c r="G224" i="6"/>
  <c r="P224" i="6" s="1"/>
  <c r="S223" i="6"/>
  <c r="G223" i="6"/>
  <c r="K223" i="6" s="1"/>
  <c r="F221" i="6"/>
  <c r="C221" i="6"/>
  <c r="E220" i="6"/>
  <c r="G219" i="6"/>
  <c r="P219" i="6" s="1"/>
  <c r="K218" i="6"/>
  <c r="I218" i="6"/>
  <c r="G218" i="6"/>
  <c r="S217" i="6"/>
  <c r="K217" i="6"/>
  <c r="G217" i="6"/>
  <c r="I215" i="6"/>
  <c r="G215" i="6"/>
  <c r="F215" i="6"/>
  <c r="E215" i="6"/>
  <c r="C215" i="6"/>
  <c r="G214" i="6"/>
  <c r="P214" i="6" s="1"/>
  <c r="R213" i="6"/>
  <c r="S213" i="6" s="1"/>
  <c r="P213" i="6"/>
  <c r="G213" i="6"/>
  <c r="I213" i="6" s="1"/>
  <c r="G212" i="6"/>
  <c r="F210" i="6"/>
  <c r="E210" i="6"/>
  <c r="G210" i="6" s="1"/>
  <c r="C210" i="6"/>
  <c r="G209" i="6"/>
  <c r="S208" i="6"/>
  <c r="G208" i="6"/>
  <c r="K208" i="6" s="1"/>
  <c r="F206" i="6"/>
  <c r="G206" i="6" s="1"/>
  <c r="E206" i="6"/>
  <c r="C206" i="6"/>
  <c r="G205" i="6"/>
  <c r="P205" i="6" s="1"/>
  <c r="R205" i="6" s="1"/>
  <c r="S205" i="6" s="1"/>
  <c r="G204" i="6"/>
  <c r="P204" i="6" s="1"/>
  <c r="G203" i="6"/>
  <c r="P201" i="6"/>
  <c r="G201" i="6"/>
  <c r="F201" i="6"/>
  <c r="E201" i="6"/>
  <c r="C201" i="6"/>
  <c r="G200" i="6"/>
  <c r="P200" i="6" s="1"/>
  <c r="R200" i="6" s="1"/>
  <c r="S200" i="6" s="1"/>
  <c r="I199" i="6"/>
  <c r="I201" i="6" s="1"/>
  <c r="G199" i="6"/>
  <c r="P199" i="6" s="1"/>
  <c r="G198" i="6"/>
  <c r="E196" i="6"/>
  <c r="G196" i="6" s="1"/>
  <c r="C196" i="6"/>
  <c r="G195" i="6"/>
  <c r="P195" i="6" s="1"/>
  <c r="R195" i="6" s="1"/>
  <c r="S195" i="6" s="1"/>
  <c r="G194" i="6"/>
  <c r="G193" i="6"/>
  <c r="L191" i="6"/>
  <c r="K191" i="6"/>
  <c r="E191" i="6"/>
  <c r="G191" i="6" s="1"/>
  <c r="C191" i="6"/>
  <c r="G190" i="6"/>
  <c r="P190" i="6" s="1"/>
  <c r="R190" i="6" s="1"/>
  <c r="S190" i="6" s="1"/>
  <c r="P189" i="6"/>
  <c r="P191" i="6" s="1"/>
  <c r="I189" i="6"/>
  <c r="I191" i="6" s="1"/>
  <c r="G189" i="6"/>
  <c r="S188" i="6"/>
  <c r="G188" i="6"/>
  <c r="K188" i="6" s="1"/>
  <c r="L188" i="6" s="1"/>
  <c r="M185" i="6"/>
  <c r="C185" i="6"/>
  <c r="C233" i="6" s="1"/>
  <c r="G184" i="6"/>
  <c r="G183" i="6"/>
  <c r="K183" i="6" s="1"/>
  <c r="K185" i="6" s="1"/>
  <c r="E182" i="6"/>
  <c r="O180" i="6"/>
  <c r="E180" i="6"/>
  <c r="G180" i="6" s="1"/>
  <c r="C180" i="6"/>
  <c r="G179" i="6"/>
  <c r="P179" i="6" s="1"/>
  <c r="R179" i="6" s="1"/>
  <c r="S179" i="6" s="1"/>
  <c r="G178" i="6"/>
  <c r="E177" i="6"/>
  <c r="G177" i="6" s="1"/>
  <c r="G176" i="6"/>
  <c r="G175" i="6"/>
  <c r="K174" i="6"/>
  <c r="E174" i="6"/>
  <c r="G174" i="6" s="1"/>
  <c r="F173" i="6"/>
  <c r="F180" i="6" s="1"/>
  <c r="O171" i="6"/>
  <c r="C171" i="6"/>
  <c r="G170" i="6"/>
  <c r="G169" i="6"/>
  <c r="K168" i="6"/>
  <c r="G168" i="6"/>
  <c r="G167" i="6"/>
  <c r="K167" i="6" s="1"/>
  <c r="E166" i="6"/>
  <c r="O164" i="6"/>
  <c r="M164" i="6"/>
  <c r="C164" i="6"/>
  <c r="P163" i="6"/>
  <c r="R163" i="6" s="1"/>
  <c r="S163" i="6" s="1"/>
  <c r="G163" i="6"/>
  <c r="G162" i="6"/>
  <c r="E161" i="6"/>
  <c r="G161" i="6" s="1"/>
  <c r="E160" i="6"/>
  <c r="F159" i="6"/>
  <c r="F164" i="6" s="1"/>
  <c r="E159" i="6"/>
  <c r="O157" i="6"/>
  <c r="M157" i="6"/>
  <c r="C157" i="6"/>
  <c r="P156" i="6"/>
  <c r="P157" i="6" s="1"/>
  <c r="I156" i="6"/>
  <c r="I157" i="6" s="1"/>
  <c r="G156" i="6"/>
  <c r="G155" i="6"/>
  <c r="K154" i="6"/>
  <c r="G154" i="6"/>
  <c r="E154" i="6"/>
  <c r="E153" i="6"/>
  <c r="E157" i="6" s="1"/>
  <c r="C151" i="6"/>
  <c r="G150" i="6"/>
  <c r="E149" i="6"/>
  <c r="G149" i="6" s="1"/>
  <c r="G148" i="6"/>
  <c r="G147" i="6"/>
  <c r="K147" i="6" s="1"/>
  <c r="E146" i="6"/>
  <c r="E144" i="6"/>
  <c r="C144" i="6"/>
  <c r="N143" i="6"/>
  <c r="G143" i="6"/>
  <c r="E143" i="6"/>
  <c r="N142" i="6"/>
  <c r="N144" i="6" s="1"/>
  <c r="E142" i="6"/>
  <c r="G142" i="6" s="1"/>
  <c r="K142" i="6" s="1"/>
  <c r="O140" i="6"/>
  <c r="M140" i="6"/>
  <c r="E140" i="6"/>
  <c r="C140" i="6"/>
  <c r="E139" i="6"/>
  <c r="G139" i="6" s="1"/>
  <c r="P139" i="6" s="1"/>
  <c r="P140" i="6" s="1"/>
  <c r="K138" i="6"/>
  <c r="G138" i="6"/>
  <c r="G137" i="6"/>
  <c r="E136" i="6"/>
  <c r="G136" i="6" s="1"/>
  <c r="G135" i="6"/>
  <c r="K135" i="6" s="1"/>
  <c r="G134" i="6"/>
  <c r="E133" i="6"/>
  <c r="G133" i="6" s="1"/>
  <c r="F130" i="6"/>
  <c r="F140" i="6" s="1"/>
  <c r="G129" i="6"/>
  <c r="K129" i="6" s="1"/>
  <c r="F129" i="6"/>
  <c r="P127" i="6"/>
  <c r="N127" i="6"/>
  <c r="C127" i="6"/>
  <c r="P126" i="6"/>
  <c r="N126" i="6"/>
  <c r="E126" i="6"/>
  <c r="N125" i="6"/>
  <c r="E125" i="6"/>
  <c r="E124" i="6"/>
  <c r="F124" i="6" s="1"/>
  <c r="G124" i="6" s="1"/>
  <c r="E123" i="6"/>
  <c r="E120" i="6"/>
  <c r="E119" i="6"/>
  <c r="P117" i="6"/>
  <c r="C117" i="6"/>
  <c r="F116" i="6"/>
  <c r="G116" i="6" s="1"/>
  <c r="E116" i="6"/>
  <c r="P116" i="6" s="1"/>
  <c r="E115" i="6"/>
  <c r="F114" i="6"/>
  <c r="G114" i="6" s="1"/>
  <c r="E113" i="6"/>
  <c r="F113" i="6" s="1"/>
  <c r="C111" i="6"/>
  <c r="E110" i="6"/>
  <c r="R109" i="6"/>
  <c r="S109" i="6" s="1"/>
  <c r="P109" i="6"/>
  <c r="G109" i="6"/>
  <c r="F108" i="6"/>
  <c r="G108" i="6" s="1"/>
  <c r="E108" i="6"/>
  <c r="E107" i="6"/>
  <c r="G107" i="6" s="1"/>
  <c r="L106" i="6"/>
  <c r="R106" i="6" s="1"/>
  <c r="S106" i="6" s="1"/>
  <c r="E106" i="6"/>
  <c r="G106" i="6" s="1"/>
  <c r="K106" i="6" s="1"/>
  <c r="K105" i="6"/>
  <c r="I105" i="6"/>
  <c r="G105" i="6"/>
  <c r="F104" i="6"/>
  <c r="G104" i="6" s="1"/>
  <c r="E103" i="6"/>
  <c r="G103" i="6" s="1"/>
  <c r="K102" i="6"/>
  <c r="G102" i="6"/>
  <c r="G101" i="6"/>
  <c r="E101" i="6"/>
  <c r="E100" i="6"/>
  <c r="G100" i="6" s="1"/>
  <c r="L99" i="6"/>
  <c r="R99" i="6" s="1"/>
  <c r="S99" i="6" s="1"/>
  <c r="G99" i="6"/>
  <c r="K99" i="6" s="1"/>
  <c r="G98" i="6"/>
  <c r="K97" i="6"/>
  <c r="L97" i="6" s="1"/>
  <c r="G97" i="6"/>
  <c r="K96" i="6"/>
  <c r="G96" i="6"/>
  <c r="L95" i="6"/>
  <c r="R95" i="6" s="1"/>
  <c r="S95" i="6" s="1"/>
  <c r="K95" i="6"/>
  <c r="G95" i="6"/>
  <c r="K94" i="6"/>
  <c r="G94" i="6"/>
  <c r="G93" i="6"/>
  <c r="K93" i="6" s="1"/>
  <c r="E93" i="6"/>
  <c r="G92" i="6"/>
  <c r="K92" i="6" s="1"/>
  <c r="E92" i="6"/>
  <c r="F92" i="6" s="1"/>
  <c r="E91" i="6"/>
  <c r="G91" i="6" s="1"/>
  <c r="E90" i="6"/>
  <c r="E111" i="6" s="1"/>
  <c r="F89" i="6"/>
  <c r="G89" i="6" s="1"/>
  <c r="K89" i="6" s="1"/>
  <c r="G88" i="6"/>
  <c r="E88" i="6"/>
  <c r="K87" i="6"/>
  <c r="G87" i="6"/>
  <c r="K86" i="6"/>
  <c r="G86" i="6"/>
  <c r="G85" i="6"/>
  <c r="K85" i="6" s="1"/>
  <c r="F85" i="6"/>
  <c r="G84" i="6"/>
  <c r="G83" i="6"/>
  <c r="F83" i="6"/>
  <c r="C81" i="6"/>
  <c r="G80" i="6"/>
  <c r="G79" i="6"/>
  <c r="P79" i="6" s="1"/>
  <c r="R78" i="6"/>
  <c r="P78" i="6"/>
  <c r="N78" i="6"/>
  <c r="I78" i="6"/>
  <c r="G78" i="6"/>
  <c r="E78" i="6"/>
  <c r="K77" i="6"/>
  <c r="I77" i="6"/>
  <c r="L77" i="6" s="1"/>
  <c r="G77" i="6"/>
  <c r="N76" i="6"/>
  <c r="E76" i="6"/>
  <c r="G76" i="6" s="1"/>
  <c r="F75" i="6"/>
  <c r="G75" i="6" s="1"/>
  <c r="E74" i="6"/>
  <c r="G74" i="6" s="1"/>
  <c r="N73" i="6"/>
  <c r="G73" i="6"/>
  <c r="E73" i="6"/>
  <c r="E72" i="6"/>
  <c r="G72" i="6" s="1"/>
  <c r="E71" i="6"/>
  <c r="G71" i="6" s="1"/>
  <c r="E70" i="6"/>
  <c r="G70" i="6" s="1"/>
  <c r="G69" i="6"/>
  <c r="E69" i="6"/>
  <c r="N68" i="6"/>
  <c r="N81" i="6" s="1"/>
  <c r="N233" i="6" s="1"/>
  <c r="E68" i="6"/>
  <c r="G68" i="6" s="1"/>
  <c r="G67" i="6"/>
  <c r="E67" i="6"/>
  <c r="G66" i="6"/>
  <c r="L65" i="6"/>
  <c r="R65" i="6" s="1"/>
  <c r="S65" i="6" s="1"/>
  <c r="G65" i="6"/>
  <c r="K65" i="6" s="1"/>
  <c r="E64" i="6"/>
  <c r="F63" i="6"/>
  <c r="F81" i="6" s="1"/>
  <c r="Q60" i="6"/>
  <c r="E60" i="6"/>
  <c r="P59" i="6"/>
  <c r="P60" i="6" s="1"/>
  <c r="G59" i="6"/>
  <c r="G58" i="6"/>
  <c r="F58" i="6"/>
  <c r="F57" i="6"/>
  <c r="G57" i="6" s="1"/>
  <c r="F56" i="6"/>
  <c r="F60" i="6" s="1"/>
  <c r="E56" i="6"/>
  <c r="O54" i="6"/>
  <c r="E54" i="6"/>
  <c r="C54" i="6"/>
  <c r="G53" i="6"/>
  <c r="P52" i="6"/>
  <c r="P54" i="6" s="1"/>
  <c r="G52" i="6"/>
  <c r="R51" i="6"/>
  <c r="S51" i="6" s="1"/>
  <c r="O51" i="6"/>
  <c r="L50" i="6"/>
  <c r="R50" i="6" s="1"/>
  <c r="S50" i="6" s="1"/>
  <c r="K50" i="6"/>
  <c r="E49" i="6"/>
  <c r="G49" i="6" s="1"/>
  <c r="E48" i="6"/>
  <c r="G48" i="6" s="1"/>
  <c r="G54" i="6" s="1"/>
  <c r="C46" i="6"/>
  <c r="E45" i="6"/>
  <c r="E46" i="6" s="1"/>
  <c r="E44" i="6"/>
  <c r="G44" i="6" s="1"/>
  <c r="P43" i="6"/>
  <c r="C41" i="6"/>
  <c r="E40" i="6"/>
  <c r="I38" i="6"/>
  <c r="C38" i="6"/>
  <c r="G37" i="6"/>
  <c r="G36" i="6"/>
  <c r="P35" i="6"/>
  <c r="G35" i="6"/>
  <c r="J35" i="6" s="1"/>
  <c r="J38" i="6" s="1"/>
  <c r="F35" i="6"/>
  <c r="F38" i="6" s="1"/>
  <c r="G34" i="6"/>
  <c r="E34" i="6"/>
  <c r="E33" i="6"/>
  <c r="G33" i="6" s="1"/>
  <c r="P32" i="6"/>
  <c r="R32" i="6" s="1"/>
  <c r="S32" i="6" s="1"/>
  <c r="E32" i="6"/>
  <c r="G32" i="6" s="1"/>
  <c r="E31" i="6"/>
  <c r="G31" i="6" s="1"/>
  <c r="E30" i="6"/>
  <c r="G30" i="6" s="1"/>
  <c r="P30" i="6" s="1"/>
  <c r="R30" i="6" s="1"/>
  <c r="S30" i="6" s="1"/>
  <c r="G29" i="6"/>
  <c r="E29" i="6"/>
  <c r="M27" i="6"/>
  <c r="M233" i="6" s="1"/>
  <c r="C27" i="6"/>
  <c r="E26" i="6"/>
  <c r="G26" i="6" s="1"/>
  <c r="G25" i="6"/>
  <c r="O25" i="6" s="1"/>
  <c r="G24" i="6"/>
  <c r="O23" i="6"/>
  <c r="H23" i="6"/>
  <c r="R23" i="6" s="1"/>
  <c r="S23" i="6" s="1"/>
  <c r="E23" i="6"/>
  <c r="G23" i="6" s="1"/>
  <c r="G22" i="6"/>
  <c r="G21" i="6"/>
  <c r="O21" i="6" s="1"/>
  <c r="G20" i="6"/>
  <c r="O19" i="6"/>
  <c r="E19" i="6"/>
  <c r="G19" i="6" s="1"/>
  <c r="H19" i="6" s="1"/>
  <c r="R19" i="6" s="1"/>
  <c r="S19" i="6" s="1"/>
  <c r="E18" i="6"/>
  <c r="G18" i="6" s="1"/>
  <c r="G17" i="6"/>
  <c r="R16" i="6"/>
  <c r="S16" i="6" s="1"/>
  <c r="G16" i="6"/>
  <c r="E16" i="6"/>
  <c r="E15" i="6"/>
  <c r="R14" i="6"/>
  <c r="O14" i="6"/>
  <c r="M14" i="6"/>
  <c r="R235" i="5"/>
  <c r="E235" i="5"/>
  <c r="S235" i="5"/>
  <c r="C235" i="5"/>
  <c r="G97" i="5"/>
  <c r="K97" i="5" s="1"/>
  <c r="E91" i="5"/>
  <c r="E92" i="5"/>
  <c r="P52" i="16" l="1"/>
  <c r="G179" i="16"/>
  <c r="I109" i="16"/>
  <c r="P109" i="16"/>
  <c r="R109" i="16"/>
  <c r="P108" i="16"/>
  <c r="P110" i="16" s="1"/>
  <c r="R108" i="16"/>
  <c r="I106" i="16"/>
  <c r="K106" i="16"/>
  <c r="L106" i="16"/>
  <c r="R106" i="16"/>
  <c r="K105" i="16"/>
  <c r="L105" i="16"/>
  <c r="R105" i="16"/>
  <c r="I104" i="16"/>
  <c r="I110" i="16" s="1"/>
  <c r="K104" i="16"/>
  <c r="L104" i="16"/>
  <c r="K102" i="16"/>
  <c r="L102" i="16"/>
  <c r="R102" i="16"/>
  <c r="K101" i="16"/>
  <c r="L101" i="16"/>
  <c r="R101" i="16"/>
  <c r="K100" i="16"/>
  <c r="L100" i="16"/>
  <c r="K99" i="16"/>
  <c r="L99" i="16"/>
  <c r="R99" i="16"/>
  <c r="K98" i="16"/>
  <c r="L98" i="16"/>
  <c r="K97" i="16"/>
  <c r="L97" i="16"/>
  <c r="K96" i="16"/>
  <c r="L96" i="16"/>
  <c r="K95" i="16"/>
  <c r="L95" i="16"/>
  <c r="K94" i="16"/>
  <c r="L94" i="16"/>
  <c r="K93" i="16"/>
  <c r="L93" i="16"/>
  <c r="R93" i="16"/>
  <c r="K92" i="16"/>
  <c r="L92" i="16"/>
  <c r="R92" i="16"/>
  <c r="K91" i="16"/>
  <c r="L91" i="16"/>
  <c r="R91" i="16"/>
  <c r="K88" i="16"/>
  <c r="L88" i="16"/>
  <c r="R88" i="16"/>
  <c r="K87" i="16"/>
  <c r="L87" i="16"/>
  <c r="R87" i="16"/>
  <c r="K86" i="16"/>
  <c r="K84" i="16"/>
  <c r="P80" i="16"/>
  <c r="R80" i="16"/>
  <c r="P79" i="16"/>
  <c r="R79" i="16"/>
  <c r="I78" i="16"/>
  <c r="P78" i="16"/>
  <c r="P81" i="16" s="1"/>
  <c r="I77" i="16"/>
  <c r="K77" i="16"/>
  <c r="L77" i="16"/>
  <c r="R77" i="16"/>
  <c r="I76" i="16"/>
  <c r="I81" i="16" s="1"/>
  <c r="K76" i="16"/>
  <c r="L76" i="16"/>
  <c r="K74" i="16"/>
  <c r="L74" i="16"/>
  <c r="R74" i="16"/>
  <c r="K73" i="16"/>
  <c r="L73" i="16"/>
  <c r="K72" i="16"/>
  <c r="L72" i="16"/>
  <c r="K71" i="16"/>
  <c r="L71" i="16"/>
  <c r="K70" i="16"/>
  <c r="L70" i="16"/>
  <c r="R70" i="16"/>
  <c r="K69" i="16"/>
  <c r="L69" i="16"/>
  <c r="K68" i="16"/>
  <c r="K67" i="16"/>
  <c r="L67" i="16"/>
  <c r="K66" i="16"/>
  <c r="L66" i="16"/>
  <c r="K65" i="16"/>
  <c r="L65" i="16"/>
  <c r="P60" i="16"/>
  <c r="P61" i="16" s="1"/>
  <c r="K54" i="16"/>
  <c r="P53" i="16"/>
  <c r="P55" i="16" s="1"/>
  <c r="R51" i="16"/>
  <c r="O55" i="16"/>
  <c r="K50" i="16"/>
  <c r="L49" i="16"/>
  <c r="R49" i="16"/>
  <c r="K48" i="16"/>
  <c r="K55" i="16" s="1"/>
  <c r="L48" i="16"/>
  <c r="G55" i="16"/>
  <c r="I45" i="16"/>
  <c r="I46" i="16" s="1"/>
  <c r="P45" i="16"/>
  <c r="R45" i="16"/>
  <c r="J44" i="16"/>
  <c r="J46" i="16" s="1"/>
  <c r="P44" i="16"/>
  <c r="P46" i="16" s="1"/>
  <c r="R44" i="16"/>
  <c r="R43" i="16"/>
  <c r="G46" i="16"/>
  <c r="P40" i="16"/>
  <c r="P41" i="16" s="1"/>
  <c r="R41" i="16" s="1"/>
  <c r="R40" i="16"/>
  <c r="S41" i="16" s="1"/>
  <c r="P37" i="16"/>
  <c r="R37" i="16"/>
  <c r="P36" i="16"/>
  <c r="R36" i="16"/>
  <c r="P34" i="16"/>
  <c r="R34" i="16"/>
  <c r="P33" i="16"/>
  <c r="R33" i="16"/>
  <c r="P32" i="16"/>
  <c r="R32" i="16"/>
  <c r="P30" i="16"/>
  <c r="R30" i="16"/>
  <c r="P29" i="16"/>
  <c r="P38" i="16" s="1"/>
  <c r="R29" i="16"/>
  <c r="H26" i="16"/>
  <c r="O26" i="16"/>
  <c r="H23" i="16"/>
  <c r="O23" i="16"/>
  <c r="R23" i="16"/>
  <c r="H19" i="16"/>
  <c r="H27" i="16" s="1"/>
  <c r="H232" i="16" s="1"/>
  <c r="R19" i="16"/>
  <c r="O18" i="16"/>
  <c r="R18" i="16"/>
  <c r="R17" i="16"/>
  <c r="K27" i="16"/>
  <c r="K217" i="16"/>
  <c r="I217" i="16"/>
  <c r="K211" i="16"/>
  <c r="K214" i="16" s="1"/>
  <c r="P203" i="16"/>
  <c r="P205" i="16" s="1"/>
  <c r="I203" i="16"/>
  <c r="K202" i="16"/>
  <c r="K205" i="16" s="1"/>
  <c r="P198" i="16"/>
  <c r="P200" i="16" s="1"/>
  <c r="I198" i="16"/>
  <c r="K197" i="16"/>
  <c r="K200" i="16" s="1"/>
  <c r="P193" i="16"/>
  <c r="P195" i="16" s="1"/>
  <c r="I193" i="16"/>
  <c r="K192" i="16"/>
  <c r="K195" i="16" s="1"/>
  <c r="L187" i="16"/>
  <c r="L190" i="16" s="1"/>
  <c r="K190" i="16"/>
  <c r="P183" i="16"/>
  <c r="P184" i="16" s="1"/>
  <c r="I183" i="16"/>
  <c r="I184" i="16" s="1"/>
  <c r="P178" i="16"/>
  <c r="R178" i="16"/>
  <c r="I177" i="16"/>
  <c r="I179" i="16" s="1"/>
  <c r="P177" i="16"/>
  <c r="P179" i="16" s="1"/>
  <c r="K176" i="16"/>
  <c r="L176" i="16"/>
  <c r="K175" i="16"/>
  <c r="K174" i="16"/>
  <c r="P169" i="16"/>
  <c r="R169" i="16"/>
  <c r="I168" i="16"/>
  <c r="I170" i="16" s="1"/>
  <c r="P168" i="16"/>
  <c r="P170" i="16" s="1"/>
  <c r="K167" i="16"/>
  <c r="K166" i="16"/>
  <c r="P162" i="16"/>
  <c r="K159" i="16"/>
  <c r="K154" i="16"/>
  <c r="K153" i="16"/>
  <c r="K146" i="16"/>
  <c r="K141" i="16"/>
  <c r="K143" i="16" s="1"/>
  <c r="G143" i="16"/>
  <c r="K137" i="16"/>
  <c r="K136" i="16"/>
  <c r="K135" i="16"/>
  <c r="I135" i="16"/>
  <c r="K134" i="16"/>
  <c r="K133" i="16"/>
  <c r="K132" i="16"/>
  <c r="I230" i="16"/>
  <c r="P230" i="16"/>
  <c r="P231" i="16" s="1"/>
  <c r="K229" i="16"/>
  <c r="K231" i="16" s="1"/>
  <c r="L229" i="16"/>
  <c r="L231" i="16" s="1"/>
  <c r="K226" i="16"/>
  <c r="K227" i="16" s="1"/>
  <c r="L226" i="16"/>
  <c r="L227" i="16" s="1"/>
  <c r="I223" i="16"/>
  <c r="I224" i="16" s="1"/>
  <c r="P223" i="16"/>
  <c r="P224" i="16" s="1"/>
  <c r="R223" i="16"/>
  <c r="L222" i="16"/>
  <c r="L224" i="16" s="1"/>
  <c r="K224" i="16"/>
  <c r="I218" i="16"/>
  <c r="P218" i="16"/>
  <c r="P220" i="16" s="1"/>
  <c r="L216" i="16"/>
  <c r="K220" i="16"/>
  <c r="I212" i="16"/>
  <c r="I214" i="16" s="1"/>
  <c r="P212" i="16"/>
  <c r="P214" i="16" s="1"/>
  <c r="I208" i="16"/>
  <c r="I209" i="16" s="1"/>
  <c r="P208" i="16"/>
  <c r="P209" i="16" s="1"/>
  <c r="R208" i="16"/>
  <c r="P188" i="16"/>
  <c r="P190" i="16" s="1"/>
  <c r="I188" i="16"/>
  <c r="K182" i="16"/>
  <c r="K184" i="16" s="1"/>
  <c r="K173" i="16"/>
  <c r="K165" i="16"/>
  <c r="K170" i="16" s="1"/>
  <c r="G170" i="16"/>
  <c r="I161" i="16"/>
  <c r="I163" i="16" s="1"/>
  <c r="P161" i="16"/>
  <c r="P163" i="16" s="1"/>
  <c r="K160" i="16"/>
  <c r="K158" i="16"/>
  <c r="K163" i="16" s="1"/>
  <c r="L158" i="16"/>
  <c r="P155" i="16"/>
  <c r="P156" i="16" s="1"/>
  <c r="I155" i="16"/>
  <c r="I156" i="16" s="1"/>
  <c r="R155" i="16"/>
  <c r="P149" i="16"/>
  <c r="P148" i="16"/>
  <c r="R148" i="16"/>
  <c r="S148" i="16" s="1"/>
  <c r="I147" i="16"/>
  <c r="I150" i="16" s="1"/>
  <c r="P147" i="16"/>
  <c r="P150" i="16" s="1"/>
  <c r="R147" i="16"/>
  <c r="P138" i="16"/>
  <c r="P139" i="16" s="1"/>
  <c r="I138" i="16"/>
  <c r="R138" i="16"/>
  <c r="K128" i="16"/>
  <c r="I125" i="16"/>
  <c r="K119" i="16"/>
  <c r="I119" i="16"/>
  <c r="K118" i="16"/>
  <c r="K120" i="16" s="1"/>
  <c r="G120" i="16"/>
  <c r="I118" i="16"/>
  <c r="I120" i="16" s="1"/>
  <c r="L118" i="16"/>
  <c r="I115" i="16"/>
  <c r="R115" i="16"/>
  <c r="G113" i="16"/>
  <c r="G112" i="16"/>
  <c r="F116" i="16"/>
  <c r="G116" i="16" s="1"/>
  <c r="G107" i="16"/>
  <c r="G103" i="16"/>
  <c r="G90" i="16"/>
  <c r="G89" i="16"/>
  <c r="G85" i="16"/>
  <c r="G83" i="16"/>
  <c r="N232" i="16"/>
  <c r="G75" i="16"/>
  <c r="G64" i="16"/>
  <c r="G59" i="16"/>
  <c r="G58" i="16"/>
  <c r="G57" i="16"/>
  <c r="G38" i="16"/>
  <c r="G35" i="16"/>
  <c r="O27" i="16"/>
  <c r="O232" i="16" s="1"/>
  <c r="R24" i="16"/>
  <c r="R22" i="16"/>
  <c r="R20" i="16"/>
  <c r="R213" i="16"/>
  <c r="S213" i="16" s="1"/>
  <c r="R199" i="16"/>
  <c r="S199" i="16" s="1"/>
  <c r="G184" i="16"/>
  <c r="G145" i="16"/>
  <c r="G114" i="16"/>
  <c r="G150" i="16"/>
  <c r="G181" i="16"/>
  <c r="F139" i="16"/>
  <c r="G156" i="16"/>
  <c r="R25" i="16"/>
  <c r="R21" i="16"/>
  <c r="R189" i="16"/>
  <c r="G163" i="16"/>
  <c r="R142" i="16"/>
  <c r="G129" i="16"/>
  <c r="G124" i="16"/>
  <c r="E232" i="16"/>
  <c r="G152" i="16"/>
  <c r="R204" i="16"/>
  <c r="S204" i="16" s="1"/>
  <c r="G172" i="16"/>
  <c r="G123" i="16"/>
  <c r="G122" i="16"/>
  <c r="P230" i="14"/>
  <c r="P231" i="14" s="1"/>
  <c r="I230" i="14"/>
  <c r="K229" i="14"/>
  <c r="K226" i="14"/>
  <c r="L222" i="14"/>
  <c r="L224" i="14" s="1"/>
  <c r="K224" i="14"/>
  <c r="L216" i="14"/>
  <c r="L220" i="14" s="1"/>
  <c r="K220" i="14"/>
  <c r="K211" i="14"/>
  <c r="S209" i="14"/>
  <c r="R209" i="14"/>
  <c r="L207" i="14"/>
  <c r="L209" i="14" s="1"/>
  <c r="K209" i="14"/>
  <c r="P203" i="14"/>
  <c r="P205" i="14" s="1"/>
  <c r="I203" i="14"/>
  <c r="P198" i="14"/>
  <c r="P200" i="14" s="1"/>
  <c r="I198" i="14"/>
  <c r="K197" i="14"/>
  <c r="P193" i="14"/>
  <c r="P195" i="14" s="1"/>
  <c r="I193" i="14"/>
  <c r="K192" i="14"/>
  <c r="P188" i="14"/>
  <c r="P190" i="14" s="1"/>
  <c r="I188" i="14"/>
  <c r="K190" i="14"/>
  <c r="L187" i="14"/>
  <c r="L190" i="14" s="1"/>
  <c r="P183" i="14"/>
  <c r="P184" i="14" s="1"/>
  <c r="I183" i="14"/>
  <c r="I184" i="14" s="1"/>
  <c r="R183" i="14"/>
  <c r="K182" i="14"/>
  <c r="L181" i="14"/>
  <c r="R181" i="14"/>
  <c r="K172" i="14"/>
  <c r="K179" i="14" s="1"/>
  <c r="L172" i="14"/>
  <c r="L179" i="14" s="1"/>
  <c r="R172" i="14"/>
  <c r="K152" i="14"/>
  <c r="K156" i="14" s="1"/>
  <c r="L152" i="14"/>
  <c r="K141" i="14"/>
  <c r="K143" i="14" s="1"/>
  <c r="L141" i="14"/>
  <c r="L143" i="14" s="1"/>
  <c r="R141" i="14"/>
  <c r="G143" i="14"/>
  <c r="K129" i="14"/>
  <c r="L129" i="14"/>
  <c r="R129" i="14" s="1"/>
  <c r="I124" i="14"/>
  <c r="I126" i="14" s="1"/>
  <c r="K124" i="14"/>
  <c r="L124" i="14"/>
  <c r="R124" i="14" s="1"/>
  <c r="K123" i="14"/>
  <c r="L123" i="14"/>
  <c r="R123" i="14"/>
  <c r="I119" i="14"/>
  <c r="K119" i="14"/>
  <c r="L119" i="14"/>
  <c r="R119" i="14" s="1"/>
  <c r="I115" i="14"/>
  <c r="R115" i="14" s="1"/>
  <c r="I114" i="14"/>
  <c r="K114" i="14"/>
  <c r="L114" i="14"/>
  <c r="R114" i="14"/>
  <c r="K113" i="14"/>
  <c r="L113" i="14"/>
  <c r="R113" i="14"/>
  <c r="K107" i="14"/>
  <c r="L107" i="14"/>
  <c r="R107" i="14"/>
  <c r="K103" i="14"/>
  <c r="L103" i="14"/>
  <c r="R103" i="14"/>
  <c r="K90" i="14"/>
  <c r="L90" i="14"/>
  <c r="R90" i="14"/>
  <c r="K89" i="14"/>
  <c r="L89" i="14"/>
  <c r="R89" i="14" s="1"/>
  <c r="K85" i="14"/>
  <c r="L85" i="14"/>
  <c r="R85" i="14" s="1"/>
  <c r="I78" i="14"/>
  <c r="P78" i="14"/>
  <c r="P81" i="14" s="1"/>
  <c r="K75" i="14"/>
  <c r="R75" i="14"/>
  <c r="K58" i="14"/>
  <c r="L58" i="14"/>
  <c r="R58" i="14" s="1"/>
  <c r="K57" i="14"/>
  <c r="L57" i="14"/>
  <c r="R57" i="14"/>
  <c r="K48" i="14"/>
  <c r="K54" i="14" s="1"/>
  <c r="L48" i="14"/>
  <c r="L54" i="14" s="1"/>
  <c r="R48" i="14"/>
  <c r="G54" i="14"/>
  <c r="R43" i="14"/>
  <c r="G46" i="14"/>
  <c r="P40" i="14"/>
  <c r="P41" i="14" s="1"/>
  <c r="R41" i="14" s="1"/>
  <c r="R40" i="14"/>
  <c r="S41" i="14" s="1"/>
  <c r="P29" i="14"/>
  <c r="P38" i="14" s="1"/>
  <c r="P232" i="14" s="1"/>
  <c r="R29" i="14"/>
  <c r="H19" i="14"/>
  <c r="H27" i="14" s="1"/>
  <c r="H232" i="14" s="1"/>
  <c r="R19" i="14"/>
  <c r="R17" i="14"/>
  <c r="K27" i="14"/>
  <c r="R27" i="14"/>
  <c r="I224" i="14"/>
  <c r="R223" i="14"/>
  <c r="I220" i="14"/>
  <c r="R217" i="14"/>
  <c r="P214" i="14"/>
  <c r="R212" i="14"/>
  <c r="K205" i="14"/>
  <c r="R202" i="14"/>
  <c r="F170" i="14"/>
  <c r="G165" i="14"/>
  <c r="L159" i="14"/>
  <c r="R159" i="14" s="1"/>
  <c r="F163" i="14"/>
  <c r="G163" i="14" s="1"/>
  <c r="G158" i="14"/>
  <c r="F150" i="14"/>
  <c r="G150" i="14" s="1"/>
  <c r="G145" i="14"/>
  <c r="P143" i="14"/>
  <c r="R142" i="14"/>
  <c r="F139" i="14"/>
  <c r="G128" i="14"/>
  <c r="F126" i="14"/>
  <c r="G122" i="14"/>
  <c r="F120" i="14"/>
  <c r="G118" i="14"/>
  <c r="F116" i="14"/>
  <c r="G116" i="14" s="1"/>
  <c r="G112" i="14"/>
  <c r="F110" i="14"/>
  <c r="G83" i="14"/>
  <c r="F81" i="14"/>
  <c r="G63" i="14"/>
  <c r="F60" i="14"/>
  <c r="G56" i="14"/>
  <c r="F38" i="14"/>
  <c r="F232" i="14" s="1"/>
  <c r="G35" i="14"/>
  <c r="E234" i="13"/>
  <c r="K94" i="13"/>
  <c r="L94" i="13" s="1"/>
  <c r="R94" i="13" s="1"/>
  <c r="K102" i="13"/>
  <c r="L102" i="13" s="1"/>
  <c r="R102" i="13" s="1"/>
  <c r="P169" i="13"/>
  <c r="R169" i="13" s="1"/>
  <c r="K135" i="13"/>
  <c r="I135" i="13"/>
  <c r="P179" i="13"/>
  <c r="L101" i="13"/>
  <c r="K101" i="13"/>
  <c r="P155" i="13"/>
  <c r="P156" i="13" s="1"/>
  <c r="I155" i="13"/>
  <c r="I156" i="13" s="1"/>
  <c r="E205" i="13"/>
  <c r="G205" i="13" s="1"/>
  <c r="E220" i="13"/>
  <c r="G220" i="13" s="1"/>
  <c r="M232" i="13"/>
  <c r="R15" i="13"/>
  <c r="S15" i="13" s="1"/>
  <c r="K17" i="13"/>
  <c r="R22" i="13"/>
  <c r="S22" i="13" s="1"/>
  <c r="H25" i="13"/>
  <c r="R25" i="13" s="1"/>
  <c r="S25" i="13" s="1"/>
  <c r="C232" i="13"/>
  <c r="E41" i="13"/>
  <c r="G41" i="13" s="1"/>
  <c r="G49" i="13"/>
  <c r="F56" i="13"/>
  <c r="F85" i="13"/>
  <c r="G85" i="13" s="1"/>
  <c r="F90" i="13"/>
  <c r="G90" i="13" s="1"/>
  <c r="L105" i="13"/>
  <c r="R105" i="13" s="1"/>
  <c r="G118" i="13"/>
  <c r="G122" i="13"/>
  <c r="F129" i="13"/>
  <c r="G129" i="13" s="1"/>
  <c r="K129" i="13" s="1"/>
  <c r="K153" i="13"/>
  <c r="L153" i="13" s="1"/>
  <c r="R153" i="13" s="1"/>
  <c r="F172" i="13"/>
  <c r="F179" i="13" s="1"/>
  <c r="I177" i="13"/>
  <c r="I179" i="13" s="1"/>
  <c r="F181" i="13"/>
  <c r="F184" i="13" s="1"/>
  <c r="O25" i="13"/>
  <c r="E38" i="13"/>
  <c r="G38" i="13" s="1"/>
  <c r="E235" i="13"/>
  <c r="G181" i="13"/>
  <c r="P220" i="13"/>
  <c r="I230" i="13"/>
  <c r="I231" i="13" s="1"/>
  <c r="R14" i="13"/>
  <c r="S14" i="13" s="1"/>
  <c r="R16" i="13"/>
  <c r="S16" i="13" s="1"/>
  <c r="G29" i="13"/>
  <c r="P29" i="13" s="1"/>
  <c r="G35" i="13"/>
  <c r="E46" i="13"/>
  <c r="E81" i="13"/>
  <c r="N81" i="13"/>
  <c r="N232" i="13" s="1"/>
  <c r="R98" i="13"/>
  <c r="L166" i="13"/>
  <c r="R166" i="13" s="1"/>
  <c r="I218" i="13"/>
  <c r="R218" i="13" s="1"/>
  <c r="G224" i="13"/>
  <c r="O26" i="13"/>
  <c r="H26" i="13"/>
  <c r="P30" i="13"/>
  <c r="R30" i="13" s="1"/>
  <c r="S30" i="13" s="1"/>
  <c r="K58" i="13"/>
  <c r="K69" i="13"/>
  <c r="L69" i="13" s="1"/>
  <c r="R69" i="13" s="1"/>
  <c r="S69" i="13" s="1"/>
  <c r="K107" i="13"/>
  <c r="L107" i="13" s="1"/>
  <c r="R107" i="13" s="1"/>
  <c r="R36" i="13"/>
  <c r="S36" i="13" s="1"/>
  <c r="P36" i="13"/>
  <c r="F60" i="13"/>
  <c r="P59" i="13"/>
  <c r="P60" i="13" s="1"/>
  <c r="O18" i="13"/>
  <c r="R18" i="13" s="1"/>
  <c r="S18" i="13" s="1"/>
  <c r="O23" i="13"/>
  <c r="H23" i="13"/>
  <c r="R23" i="13" s="1"/>
  <c r="S23" i="13" s="1"/>
  <c r="R34" i="13"/>
  <c r="S34" i="13" s="1"/>
  <c r="P34" i="13"/>
  <c r="K53" i="13"/>
  <c r="L53" i="13"/>
  <c r="R53" i="13" s="1"/>
  <c r="S53" i="13" s="1"/>
  <c r="K57" i="13"/>
  <c r="L57" i="13" s="1"/>
  <c r="K73" i="13"/>
  <c r="P79" i="13"/>
  <c r="R79" i="13" s="1"/>
  <c r="S79" i="13" s="1"/>
  <c r="K100" i="13"/>
  <c r="K134" i="13"/>
  <c r="L134" i="13" s="1"/>
  <c r="R149" i="13"/>
  <c r="P149" i="13"/>
  <c r="R29" i="13"/>
  <c r="S29" i="13" s="1"/>
  <c r="P32" i="13"/>
  <c r="R32" i="13"/>
  <c r="S32" i="13" s="1"/>
  <c r="J35" i="13"/>
  <c r="J38" i="13" s="1"/>
  <c r="P41" i="13"/>
  <c r="R41" i="13" s="1"/>
  <c r="R40" i="13"/>
  <c r="R51" i="13"/>
  <c r="S51" i="13" s="1"/>
  <c r="O54" i="13"/>
  <c r="K93" i="13"/>
  <c r="R93" i="13"/>
  <c r="L93" i="13"/>
  <c r="G15" i="13"/>
  <c r="G27" i="13" s="1"/>
  <c r="H17" i="13"/>
  <c r="R17" i="13" s="1"/>
  <c r="S17" i="13" s="1"/>
  <c r="H19" i="13"/>
  <c r="R19" i="13" s="1"/>
  <c r="S19" i="13" s="1"/>
  <c r="P35" i="13"/>
  <c r="J44" i="13"/>
  <c r="J46" i="13" s="1"/>
  <c r="K48" i="13"/>
  <c r="F63" i="13"/>
  <c r="K64" i="13"/>
  <c r="L64" i="13" s="1"/>
  <c r="L66" i="13"/>
  <c r="R66" i="13" s="1"/>
  <c r="S66" i="13" s="1"/>
  <c r="K72" i="13"/>
  <c r="L72" i="13" s="1"/>
  <c r="I77" i="13"/>
  <c r="E236" i="13"/>
  <c r="G78" i="13"/>
  <c r="R95" i="13"/>
  <c r="S95" i="13" s="1"/>
  <c r="K113" i="13"/>
  <c r="L113" i="13" s="1"/>
  <c r="R113" i="13" s="1"/>
  <c r="F115" i="13"/>
  <c r="G115" i="13" s="1"/>
  <c r="P115" i="13"/>
  <c r="P116" i="13" s="1"/>
  <c r="F123" i="13"/>
  <c r="G123" i="13" s="1"/>
  <c r="I138" i="13"/>
  <c r="R138" i="13" s="1"/>
  <c r="G143" i="13"/>
  <c r="K141" i="13"/>
  <c r="G189" i="13"/>
  <c r="P189" i="13" s="1"/>
  <c r="R189" i="13" s="1"/>
  <c r="G199" i="13"/>
  <c r="P199" i="13" s="1"/>
  <c r="R199" i="13" s="1"/>
  <c r="I203" i="13"/>
  <c r="I205" i="13" s="1"/>
  <c r="P203" i="13"/>
  <c r="P205" i="13" s="1"/>
  <c r="I212" i="13"/>
  <c r="I214" i="13" s="1"/>
  <c r="P212" i="13"/>
  <c r="P214" i="13" s="1"/>
  <c r="K27" i="13"/>
  <c r="E110" i="13"/>
  <c r="G83" i="13"/>
  <c r="F83" i="13"/>
  <c r="F110" i="13" s="1"/>
  <c r="K84" i="13"/>
  <c r="L84" i="13" s="1"/>
  <c r="R84" i="13" s="1"/>
  <c r="K89" i="13"/>
  <c r="L89" i="13" s="1"/>
  <c r="R89" i="13" s="1"/>
  <c r="K104" i="13"/>
  <c r="I104" i="13"/>
  <c r="K106" i="13"/>
  <c r="K133" i="13"/>
  <c r="K136" i="13"/>
  <c r="H21" i="13"/>
  <c r="R21" i="13" s="1"/>
  <c r="S21" i="13" s="1"/>
  <c r="H24" i="13"/>
  <c r="R24" i="13" s="1"/>
  <c r="S24" i="13" s="1"/>
  <c r="P37" i="13"/>
  <c r="R37" i="13" s="1"/>
  <c r="S37" i="13" s="1"/>
  <c r="G43" i="13"/>
  <c r="I45" i="13"/>
  <c r="I46" i="13" s="1"/>
  <c r="L49" i="13"/>
  <c r="R49" i="13" s="1"/>
  <c r="S49" i="13" s="1"/>
  <c r="G50" i="13"/>
  <c r="P52" i="13"/>
  <c r="P54" i="13" s="1"/>
  <c r="G56" i="13"/>
  <c r="K65" i="13"/>
  <c r="L65" i="13" s="1"/>
  <c r="L67" i="13"/>
  <c r="R67" i="13" s="1"/>
  <c r="S67" i="13" s="1"/>
  <c r="L68" i="13"/>
  <c r="R68" i="13" s="1"/>
  <c r="S68" i="13" s="1"/>
  <c r="R74" i="13"/>
  <c r="S74" i="13" s="1"/>
  <c r="G75" i="13"/>
  <c r="K76" i="13"/>
  <c r="P80" i="13"/>
  <c r="R80" i="13" s="1"/>
  <c r="S80" i="13" s="1"/>
  <c r="L86" i="13"/>
  <c r="K87" i="13"/>
  <c r="L87" i="13" s="1"/>
  <c r="R88" i="13"/>
  <c r="L91" i="13"/>
  <c r="R91" i="13" s="1"/>
  <c r="K92" i="13"/>
  <c r="L92" i="13" s="1"/>
  <c r="I106" i="13"/>
  <c r="R108" i="13"/>
  <c r="G112" i="13"/>
  <c r="F114" i="13"/>
  <c r="G114" i="13" s="1"/>
  <c r="E116" i="13"/>
  <c r="K119" i="13"/>
  <c r="L119" i="13" s="1"/>
  <c r="R119" i="13" s="1"/>
  <c r="F165" i="13"/>
  <c r="F170" i="13" s="1"/>
  <c r="E170" i="13"/>
  <c r="P208" i="13"/>
  <c r="P209" i="13" s="1"/>
  <c r="I208" i="13"/>
  <c r="I209" i="13" s="1"/>
  <c r="K226" i="13"/>
  <c r="K227" i="13" s="1"/>
  <c r="E237" i="13"/>
  <c r="P43" i="13"/>
  <c r="P46" i="13" s="1"/>
  <c r="L71" i="13"/>
  <c r="R71" i="13" s="1"/>
  <c r="S71" i="13" s="1"/>
  <c r="L77" i="13"/>
  <c r="R86" i="13"/>
  <c r="K96" i="13"/>
  <c r="L96" i="13"/>
  <c r="L99" i="13"/>
  <c r="R99" i="13" s="1"/>
  <c r="K103" i="13"/>
  <c r="L103" i="13" s="1"/>
  <c r="K122" i="13"/>
  <c r="P125" i="13"/>
  <c r="P126" i="13" s="1"/>
  <c r="F125" i="13"/>
  <c r="F126" i="13" s="1"/>
  <c r="K132" i="13"/>
  <c r="K137" i="13"/>
  <c r="E139" i="13"/>
  <c r="E156" i="13"/>
  <c r="G154" i="13"/>
  <c r="G198" i="13"/>
  <c r="K224" i="13"/>
  <c r="L222" i="13"/>
  <c r="L224" i="13" s="1"/>
  <c r="R97" i="13"/>
  <c r="R101" i="13"/>
  <c r="F120" i="13"/>
  <c r="G128" i="13"/>
  <c r="I139" i="13"/>
  <c r="R142" i="13"/>
  <c r="F156" i="13"/>
  <c r="G152" i="13"/>
  <c r="E190" i="13"/>
  <c r="G190" i="13" s="1"/>
  <c r="G187" i="13"/>
  <c r="K187" i="13" s="1"/>
  <c r="R109" i="13"/>
  <c r="K118" i="13"/>
  <c r="K120" i="13" s="1"/>
  <c r="G124" i="13"/>
  <c r="E150" i="13"/>
  <c r="F145" i="13"/>
  <c r="F150" i="13" s="1"/>
  <c r="K146" i="13"/>
  <c r="R147" i="13"/>
  <c r="P148" i="13"/>
  <c r="P150" i="13" s="1"/>
  <c r="K160" i="13"/>
  <c r="L160" i="13" s="1"/>
  <c r="R160" i="13" s="1"/>
  <c r="L181" i="13"/>
  <c r="R181" i="13"/>
  <c r="P183" i="13"/>
  <c r="P184" i="13" s="1"/>
  <c r="R183" i="13"/>
  <c r="I183" i="13"/>
  <c r="I184" i="13" s="1"/>
  <c r="K217" i="13"/>
  <c r="K220" i="13" s="1"/>
  <c r="I217" i="13"/>
  <c r="I220" i="13" s="1"/>
  <c r="E120" i="13"/>
  <c r="E126" i="13"/>
  <c r="L135" i="13"/>
  <c r="R135" i="13" s="1"/>
  <c r="R155" i="13"/>
  <c r="P162" i="13"/>
  <c r="R162" i="13" s="1"/>
  <c r="I168" i="13"/>
  <c r="I170" i="13" s="1"/>
  <c r="R168" i="13"/>
  <c r="P168" i="13"/>
  <c r="P170" i="13" s="1"/>
  <c r="G173" i="13"/>
  <c r="E179" i="13"/>
  <c r="G179" i="13" s="1"/>
  <c r="R182" i="13"/>
  <c r="P193" i="13"/>
  <c r="I193" i="13"/>
  <c r="E200" i="13"/>
  <c r="G200" i="13" s="1"/>
  <c r="K209" i="13"/>
  <c r="L207" i="13"/>
  <c r="L209" i="13" s="1"/>
  <c r="L216" i="13"/>
  <c r="E163" i="13"/>
  <c r="G163" i="13" s="1"/>
  <c r="R159" i="13"/>
  <c r="L167" i="13"/>
  <c r="K174" i="13"/>
  <c r="G184" i="13"/>
  <c r="G188" i="13"/>
  <c r="G194" i="13"/>
  <c r="P194" i="13" s="1"/>
  <c r="R194" i="13"/>
  <c r="K197" i="13"/>
  <c r="K200" i="13" s="1"/>
  <c r="P223" i="13"/>
  <c r="P224" i="13" s="1"/>
  <c r="I223" i="13"/>
  <c r="I224" i="13" s="1"/>
  <c r="G158" i="13"/>
  <c r="L159" i="13"/>
  <c r="P161" i="13"/>
  <c r="P163" i="13" s="1"/>
  <c r="L182" i="13"/>
  <c r="L192" i="13"/>
  <c r="L195" i="13" s="1"/>
  <c r="E195" i="13"/>
  <c r="G195" i="13" s="1"/>
  <c r="R203" i="13"/>
  <c r="E209" i="13"/>
  <c r="G209" i="13" s="1"/>
  <c r="R219" i="13"/>
  <c r="R230" i="13"/>
  <c r="L176" i="13"/>
  <c r="R176" i="13" s="1"/>
  <c r="E231" i="13"/>
  <c r="G231" i="13" s="1"/>
  <c r="G229" i="13"/>
  <c r="R167" i="13"/>
  <c r="R178" i="13"/>
  <c r="K202" i="13"/>
  <c r="K211" i="13"/>
  <c r="P231" i="12"/>
  <c r="P232" i="12" s="1"/>
  <c r="I218" i="12"/>
  <c r="K221" i="12"/>
  <c r="P214" i="12"/>
  <c r="R214" i="12" s="1"/>
  <c r="S214" i="12" s="1"/>
  <c r="P205" i="12"/>
  <c r="R205" i="12" s="1"/>
  <c r="S205" i="12" s="1"/>
  <c r="I196" i="12"/>
  <c r="R194" i="12"/>
  <c r="S194" i="12" s="1"/>
  <c r="P194" i="12"/>
  <c r="P191" i="12"/>
  <c r="I189" i="12"/>
  <c r="R184" i="12"/>
  <c r="S184" i="12" s="1"/>
  <c r="I184" i="12"/>
  <c r="I185" i="12" s="1"/>
  <c r="K183" i="12"/>
  <c r="I178" i="12"/>
  <c r="I180" i="12" s="1"/>
  <c r="K174" i="12"/>
  <c r="L174" i="12" s="1"/>
  <c r="R174" i="12" s="1"/>
  <c r="S174" i="12" s="1"/>
  <c r="R167" i="12"/>
  <c r="S167" i="12" s="1"/>
  <c r="I162" i="12"/>
  <c r="I164" i="12" s="1"/>
  <c r="R162" i="12"/>
  <c r="S162" i="12" s="1"/>
  <c r="F164" i="12"/>
  <c r="G164" i="12"/>
  <c r="R156" i="12"/>
  <c r="S156" i="12" s="1"/>
  <c r="R149" i="12"/>
  <c r="S149" i="12" s="1"/>
  <c r="K135" i="12"/>
  <c r="L135" i="12" s="1"/>
  <c r="K130" i="12"/>
  <c r="L103" i="12"/>
  <c r="R103" i="12" s="1"/>
  <c r="S103" i="12" s="1"/>
  <c r="L101" i="12"/>
  <c r="R101" i="12" s="1"/>
  <c r="S101" i="12" s="1"/>
  <c r="K99" i="12"/>
  <c r="L99" i="12" s="1"/>
  <c r="R99" i="12" s="1"/>
  <c r="S99" i="12" s="1"/>
  <c r="K95" i="12"/>
  <c r="L95" i="12" s="1"/>
  <c r="R95" i="12" s="1"/>
  <c r="S95" i="12" s="1"/>
  <c r="K94" i="12"/>
  <c r="L94" i="12"/>
  <c r="R94" i="12" s="1"/>
  <c r="S94" i="12" s="1"/>
  <c r="K84" i="12"/>
  <c r="L84" i="12" s="1"/>
  <c r="R79" i="12"/>
  <c r="S79" i="12" s="1"/>
  <c r="K74" i="12"/>
  <c r="L74" i="12" s="1"/>
  <c r="R64" i="12"/>
  <c r="S64" i="12" s="1"/>
  <c r="R59" i="12"/>
  <c r="S59" i="12" s="1"/>
  <c r="L58" i="12"/>
  <c r="R58" i="12" s="1"/>
  <c r="S58" i="12" s="1"/>
  <c r="F60" i="12"/>
  <c r="K53" i="12"/>
  <c r="L53" i="12" s="1"/>
  <c r="R53" i="12" s="1"/>
  <c r="S53" i="12" s="1"/>
  <c r="E235" i="12"/>
  <c r="I45" i="12"/>
  <c r="I46" i="12" s="1"/>
  <c r="R40" i="12"/>
  <c r="R41" i="12"/>
  <c r="G35" i="12"/>
  <c r="H26" i="12"/>
  <c r="R26" i="12" s="1"/>
  <c r="S26" i="12" s="1"/>
  <c r="O23" i="12"/>
  <c r="H23" i="12"/>
  <c r="K17" i="12"/>
  <c r="K27" i="12" s="1"/>
  <c r="C239" i="12"/>
  <c r="C233" i="12"/>
  <c r="R52" i="12"/>
  <c r="S52" i="12" s="1"/>
  <c r="H17" i="12"/>
  <c r="R17" i="12" s="1"/>
  <c r="S17" i="12" s="1"/>
  <c r="O21" i="12"/>
  <c r="R32" i="12"/>
  <c r="S32" i="12" s="1"/>
  <c r="L87" i="12"/>
  <c r="K87" i="12"/>
  <c r="G115" i="12"/>
  <c r="F115" i="12"/>
  <c r="F140" i="12"/>
  <c r="G129" i="12"/>
  <c r="K191" i="12"/>
  <c r="L188" i="12"/>
  <c r="L191" i="12" s="1"/>
  <c r="H21" i="12"/>
  <c r="R21" i="12" s="1"/>
  <c r="S21" i="12" s="1"/>
  <c r="O25" i="12"/>
  <c r="O27" i="12" s="1"/>
  <c r="O233" i="12" s="1"/>
  <c r="H25" i="12"/>
  <c r="E27" i="12"/>
  <c r="E38" i="12"/>
  <c r="G38" i="12" s="1"/>
  <c r="G29" i="12"/>
  <c r="P29" i="12" s="1"/>
  <c r="R31" i="12"/>
  <c r="S31" i="12" s="1"/>
  <c r="G44" i="12"/>
  <c r="P44" i="12" s="1"/>
  <c r="R45" i="12"/>
  <c r="S45" i="12" s="1"/>
  <c r="G48" i="12"/>
  <c r="K57" i="12"/>
  <c r="L63" i="12"/>
  <c r="K63" i="12"/>
  <c r="E81" i="12"/>
  <c r="G68" i="12"/>
  <c r="K71" i="12"/>
  <c r="L71" i="12" s="1"/>
  <c r="R71" i="12" s="1"/>
  <c r="S71" i="12" s="1"/>
  <c r="P81" i="12"/>
  <c r="I78" i="12"/>
  <c r="K91" i="12"/>
  <c r="L91" i="12" s="1"/>
  <c r="K93" i="12"/>
  <c r="K98" i="12"/>
  <c r="L98" i="12" s="1"/>
  <c r="F117" i="12"/>
  <c r="G113" i="12"/>
  <c r="F116" i="12"/>
  <c r="G116" i="12" s="1"/>
  <c r="P117" i="12"/>
  <c r="E140" i="12"/>
  <c r="G133" i="12"/>
  <c r="K136" i="12"/>
  <c r="I136" i="12"/>
  <c r="I140" i="12" s="1"/>
  <c r="K159" i="12"/>
  <c r="L159" i="12" s="1"/>
  <c r="K176" i="12"/>
  <c r="K69" i="12"/>
  <c r="L69" i="12" s="1"/>
  <c r="R69" i="12" s="1"/>
  <c r="S69" i="12" s="1"/>
  <c r="G27" i="12"/>
  <c r="O24" i="12"/>
  <c r="R36" i="12"/>
  <c r="S36" i="12" s="1"/>
  <c r="K65" i="12"/>
  <c r="L65" i="12" s="1"/>
  <c r="R65" i="12" s="1"/>
  <c r="S65" i="12" s="1"/>
  <c r="K70" i="12"/>
  <c r="L73" i="12"/>
  <c r="K73" i="12"/>
  <c r="K85" i="12"/>
  <c r="L85" i="12" s="1"/>
  <c r="K88" i="12"/>
  <c r="L88" i="12" s="1"/>
  <c r="K100" i="12"/>
  <c r="I107" i="12"/>
  <c r="K107" i="12"/>
  <c r="R109" i="12"/>
  <c r="S109" i="12" s="1"/>
  <c r="R37" i="12"/>
  <c r="S37" i="12" s="1"/>
  <c r="K75" i="12"/>
  <c r="R75" i="12" s="1"/>
  <c r="S75" i="12" s="1"/>
  <c r="R19" i="12"/>
  <c r="S19" i="12" s="1"/>
  <c r="H20" i="12"/>
  <c r="O22" i="12"/>
  <c r="H22" i="12"/>
  <c r="R22" i="12" s="1"/>
  <c r="S22" i="12" s="1"/>
  <c r="R23" i="12"/>
  <c r="S23" i="12" s="1"/>
  <c r="H24" i="12"/>
  <c r="R24" i="12" s="1"/>
  <c r="S24" i="12" s="1"/>
  <c r="R33" i="12"/>
  <c r="S33" i="12" s="1"/>
  <c r="J35" i="12"/>
  <c r="J38" i="12" s="1"/>
  <c r="E54" i="12"/>
  <c r="E60" i="12"/>
  <c r="G56" i="12"/>
  <c r="R67" i="12"/>
  <c r="S67" i="12" s="1"/>
  <c r="L70" i="12"/>
  <c r="K72" i="12"/>
  <c r="L72" i="12" s="1"/>
  <c r="F81" i="12"/>
  <c r="E117" i="12"/>
  <c r="F146" i="12"/>
  <c r="F151" i="12" s="1"/>
  <c r="E151" i="12"/>
  <c r="K154" i="12"/>
  <c r="P164" i="12"/>
  <c r="R163" i="12"/>
  <c r="S163" i="12" s="1"/>
  <c r="I191" i="12"/>
  <c r="R189" i="12"/>
  <c r="S189" i="12" s="1"/>
  <c r="E236" i="12"/>
  <c r="R77" i="12"/>
  <c r="S77" i="12" s="1"/>
  <c r="F111" i="12"/>
  <c r="K105" i="12"/>
  <c r="I105" i="12"/>
  <c r="I111" i="12" s="1"/>
  <c r="L120" i="12"/>
  <c r="R120" i="12" s="1"/>
  <c r="S120" i="12" s="1"/>
  <c r="K120" i="12"/>
  <c r="G121" i="12"/>
  <c r="F180" i="12"/>
  <c r="G180" i="12" s="1"/>
  <c r="G173" i="12"/>
  <c r="F182" i="12"/>
  <c r="F185" i="12" s="1"/>
  <c r="P196" i="12"/>
  <c r="R195" i="12"/>
  <c r="S195" i="12" s="1"/>
  <c r="P210" i="12"/>
  <c r="I209" i="12"/>
  <c r="I210" i="12" s="1"/>
  <c r="Q239" i="12"/>
  <c r="K66" i="12"/>
  <c r="L66" i="12" s="1"/>
  <c r="G76" i="12"/>
  <c r="I77" i="12"/>
  <c r="L77" i="12" s="1"/>
  <c r="G83" i="12"/>
  <c r="K92" i="12"/>
  <c r="R96" i="12"/>
  <c r="S96" i="12" s="1"/>
  <c r="K97" i="12"/>
  <c r="L97" i="12" s="1"/>
  <c r="R97" i="12" s="1"/>
  <c r="S97" i="12" s="1"/>
  <c r="L104" i="12"/>
  <c r="R104" i="12" s="1"/>
  <c r="S104" i="12" s="1"/>
  <c r="K106" i="12"/>
  <c r="K114" i="12"/>
  <c r="L114" i="12" s="1"/>
  <c r="R114" i="12" s="1"/>
  <c r="S114" i="12" s="1"/>
  <c r="I120" i="12"/>
  <c r="I121" i="12" s="1"/>
  <c r="F124" i="12"/>
  <c r="G124" i="12" s="1"/>
  <c r="F125" i="12"/>
  <c r="G125" i="12" s="1"/>
  <c r="L138" i="12"/>
  <c r="R138" i="12" s="1"/>
  <c r="S138" i="12" s="1"/>
  <c r="P140" i="12"/>
  <c r="G144" i="12"/>
  <c r="L142" i="12"/>
  <c r="P151" i="12"/>
  <c r="I148" i="12"/>
  <c r="E157" i="12"/>
  <c r="F153" i="12"/>
  <c r="F157" i="12" s="1"/>
  <c r="K161" i="12"/>
  <c r="L161" i="12" s="1"/>
  <c r="G166" i="12"/>
  <c r="K198" i="12"/>
  <c r="K201" i="12" s="1"/>
  <c r="L212" i="12"/>
  <c r="L215" i="12" s="1"/>
  <c r="P225" i="12"/>
  <c r="I224" i="12"/>
  <c r="I225" i="12" s="1"/>
  <c r="E238" i="12"/>
  <c r="E237" i="12"/>
  <c r="E111" i="12"/>
  <c r="R89" i="12"/>
  <c r="S89" i="12" s="1"/>
  <c r="G90" i="12"/>
  <c r="L102" i="12"/>
  <c r="R102" i="12" s="1"/>
  <c r="S102" i="12" s="1"/>
  <c r="G108" i="12"/>
  <c r="P111" i="12"/>
  <c r="K119" i="12"/>
  <c r="K121" i="12" s="1"/>
  <c r="L123" i="12"/>
  <c r="P127" i="12"/>
  <c r="F126" i="12"/>
  <c r="G126" i="12" s="1"/>
  <c r="R137" i="12"/>
  <c r="S137" i="12" s="1"/>
  <c r="R143" i="12"/>
  <c r="S143" i="12" s="1"/>
  <c r="L147" i="12"/>
  <c r="R147" i="12" s="1"/>
  <c r="S147" i="12" s="1"/>
  <c r="R160" i="12"/>
  <c r="S160" i="12" s="1"/>
  <c r="R168" i="12"/>
  <c r="S168" i="12" s="1"/>
  <c r="K175" i="12"/>
  <c r="L175" i="12" s="1"/>
  <c r="R175" i="12" s="1"/>
  <c r="S175" i="12" s="1"/>
  <c r="R177" i="12"/>
  <c r="E185" i="12"/>
  <c r="G185" i="12" s="1"/>
  <c r="K193" i="12"/>
  <c r="K196" i="12" s="1"/>
  <c r="K155" i="12"/>
  <c r="L155" i="12" s="1"/>
  <c r="R155" i="12" s="1"/>
  <c r="S155" i="12" s="1"/>
  <c r="R170" i="12"/>
  <c r="S170" i="12" s="1"/>
  <c r="R179" i="12"/>
  <c r="S179" i="12" s="1"/>
  <c r="P206" i="12"/>
  <c r="I204" i="12"/>
  <c r="R213" i="12"/>
  <c r="S213" i="12" s="1"/>
  <c r="P215" i="12"/>
  <c r="P221" i="12"/>
  <c r="I219" i="12"/>
  <c r="R219" i="12" s="1"/>
  <c r="S219" i="12" s="1"/>
  <c r="G221" i="12"/>
  <c r="L227" i="12"/>
  <c r="L228" i="12" s="1"/>
  <c r="G232" i="12"/>
  <c r="P171" i="12"/>
  <c r="P180" i="12"/>
  <c r="P201" i="12"/>
  <c r="I199" i="12"/>
  <c r="L203" i="12"/>
  <c r="L206" i="12" s="1"/>
  <c r="K210" i="12"/>
  <c r="L208" i="12"/>
  <c r="L210" i="12" s="1"/>
  <c r="I221" i="12"/>
  <c r="K225" i="12"/>
  <c r="L223" i="12"/>
  <c r="L225" i="12" s="1"/>
  <c r="K230" i="12"/>
  <c r="L218" i="12"/>
  <c r="L221" i="12" s="1"/>
  <c r="K142" i="10"/>
  <c r="K144" i="10" s="1"/>
  <c r="L142" i="10"/>
  <c r="R142" i="10" s="1"/>
  <c r="C239" i="10"/>
  <c r="C233" i="10"/>
  <c r="P34" i="10"/>
  <c r="R34" i="10" s="1"/>
  <c r="H19" i="10"/>
  <c r="R19" i="10" s="1"/>
  <c r="S19" i="10" s="1"/>
  <c r="O23" i="10"/>
  <c r="H23" i="10"/>
  <c r="R23" i="10" s="1"/>
  <c r="L54" i="10"/>
  <c r="R49" i="10"/>
  <c r="L49" i="10"/>
  <c r="L74" i="10"/>
  <c r="K74" i="10"/>
  <c r="R74" i="10"/>
  <c r="P45" i="10"/>
  <c r="P46" i="10" s="1"/>
  <c r="I45" i="10"/>
  <c r="I46" i="10" s="1"/>
  <c r="R59" i="10"/>
  <c r="P59" i="10"/>
  <c r="P60" i="10" s="1"/>
  <c r="L67" i="10"/>
  <c r="R67" i="10" s="1"/>
  <c r="K67" i="10"/>
  <c r="K89" i="10"/>
  <c r="L108" i="10"/>
  <c r="K108" i="10"/>
  <c r="K210" i="10"/>
  <c r="L208" i="10"/>
  <c r="L210" i="10" s="1"/>
  <c r="L228" i="10"/>
  <c r="R227" i="10"/>
  <c r="R22" i="10"/>
  <c r="R29" i="10"/>
  <c r="G54" i="10"/>
  <c r="O54" i="10"/>
  <c r="R51" i="10"/>
  <c r="L58" i="10"/>
  <c r="R58" i="10" s="1"/>
  <c r="G64" i="10"/>
  <c r="R70" i="10"/>
  <c r="L70" i="10"/>
  <c r="L71" i="10"/>
  <c r="R71" i="10" s="1"/>
  <c r="P79" i="10"/>
  <c r="R79" i="10" s="1"/>
  <c r="K86" i="10"/>
  <c r="R91" i="10"/>
  <c r="L91" i="10"/>
  <c r="R93" i="10"/>
  <c r="L93" i="10"/>
  <c r="L101" i="10"/>
  <c r="K101" i="10"/>
  <c r="L103" i="10"/>
  <c r="K103" i="10"/>
  <c r="L105" i="10"/>
  <c r="K105" i="10"/>
  <c r="I105" i="10"/>
  <c r="K107" i="10"/>
  <c r="I107" i="10"/>
  <c r="R108" i="10"/>
  <c r="I115" i="10"/>
  <c r="L115" i="10"/>
  <c r="K115" i="10"/>
  <c r="R115" i="10" s="1"/>
  <c r="K136" i="10"/>
  <c r="I136" i="10"/>
  <c r="L144" i="10"/>
  <c r="G151" i="10"/>
  <c r="R30" i="10"/>
  <c r="P30" i="10"/>
  <c r="P38" i="10" s="1"/>
  <c r="E238" i="10"/>
  <c r="E27" i="10"/>
  <c r="R15" i="10"/>
  <c r="G15" i="10"/>
  <c r="K17" i="10"/>
  <c r="H17" i="10"/>
  <c r="R18" i="10"/>
  <c r="G60" i="10"/>
  <c r="R80" i="10"/>
  <c r="P80" i="10"/>
  <c r="F111" i="10"/>
  <c r="L88" i="10"/>
  <c r="K88" i="10"/>
  <c r="R88" i="10" s="1"/>
  <c r="R97" i="10"/>
  <c r="L97" i="10"/>
  <c r="P111" i="10"/>
  <c r="K113" i="10"/>
  <c r="I113" i="10"/>
  <c r="I117" i="10" s="1"/>
  <c r="P215" i="10"/>
  <c r="R213" i="10"/>
  <c r="I224" i="10"/>
  <c r="I225" i="10" s="1"/>
  <c r="R224" i="10"/>
  <c r="P224" i="10"/>
  <c r="P225" i="10" s="1"/>
  <c r="R16" i="10"/>
  <c r="G16" i="10"/>
  <c r="O26" i="10"/>
  <c r="H26" i="10"/>
  <c r="R26" i="10" s="1"/>
  <c r="G46" i="10"/>
  <c r="L53" i="10"/>
  <c r="R53" i="10" s="1"/>
  <c r="R72" i="10"/>
  <c r="L72" i="10"/>
  <c r="R110" i="10"/>
  <c r="P110" i="10"/>
  <c r="R210" i="10"/>
  <c r="O17" i="10"/>
  <c r="O27" i="10" s="1"/>
  <c r="O233" i="10" s="1"/>
  <c r="O18" i="10"/>
  <c r="R31" i="10"/>
  <c r="P33" i="10"/>
  <c r="R33" i="10" s="1"/>
  <c r="G40" i="10"/>
  <c r="R50" i="10"/>
  <c r="L50" i="10"/>
  <c r="P52" i="10"/>
  <c r="P54" i="10" s="1"/>
  <c r="K56" i="10"/>
  <c r="K60" i="10" s="1"/>
  <c r="R57" i="10"/>
  <c r="L63" i="10"/>
  <c r="N81" i="10"/>
  <c r="N233" i="10" s="1"/>
  <c r="R69" i="10"/>
  <c r="K73" i="10"/>
  <c r="L73" i="10" s="1"/>
  <c r="L76" i="10"/>
  <c r="K76" i="10"/>
  <c r="R76" i="10" s="1"/>
  <c r="R77" i="10"/>
  <c r="E237" i="10"/>
  <c r="G78" i="10"/>
  <c r="G111" i="10"/>
  <c r="L83" i="10"/>
  <c r="K83" i="10"/>
  <c r="R85" i="10"/>
  <c r="L85" i="10"/>
  <c r="K87" i="10"/>
  <c r="L87" i="10" s="1"/>
  <c r="L90" i="10"/>
  <c r="K90" i="10"/>
  <c r="L92" i="10"/>
  <c r="K92" i="10"/>
  <c r="K94" i="10"/>
  <c r="L94" i="10" s="1"/>
  <c r="R94" i="10" s="1"/>
  <c r="R96" i="10"/>
  <c r="K98" i="10"/>
  <c r="L98" i="10" s="1"/>
  <c r="R98" i="10" s="1"/>
  <c r="L100" i="10"/>
  <c r="R100" i="10" s="1"/>
  <c r="L102" i="10"/>
  <c r="R102" i="10" s="1"/>
  <c r="L104" i="10"/>
  <c r="R104" i="10" s="1"/>
  <c r="L106" i="10"/>
  <c r="R106" i="10" s="1"/>
  <c r="R109" i="10"/>
  <c r="L114" i="10"/>
  <c r="K114" i="10"/>
  <c r="R114" i="10" s="1"/>
  <c r="I116" i="10"/>
  <c r="R116" i="10"/>
  <c r="K155" i="10"/>
  <c r="L155" i="10"/>
  <c r="R155" i="10" s="1"/>
  <c r="E111" i="10"/>
  <c r="K191" i="10"/>
  <c r="L188" i="10"/>
  <c r="L191" i="10" s="1"/>
  <c r="K206" i="10"/>
  <c r="I218" i="10"/>
  <c r="I221" i="10" s="1"/>
  <c r="K218" i="10"/>
  <c r="E235" i="10"/>
  <c r="R48" i="10"/>
  <c r="E54" i="10"/>
  <c r="R63" i="10"/>
  <c r="K84" i="10"/>
  <c r="K95" i="10"/>
  <c r="L95" i="10" s="1"/>
  <c r="K99" i="10"/>
  <c r="L99" i="10" s="1"/>
  <c r="E121" i="10"/>
  <c r="F127" i="10"/>
  <c r="L124" i="10"/>
  <c r="R124" i="10" s="1"/>
  <c r="E127" i="10"/>
  <c r="R134" i="10"/>
  <c r="K134" i="10"/>
  <c r="R137" i="10"/>
  <c r="P149" i="10"/>
  <c r="R149" i="10" s="1"/>
  <c r="K154" i="10"/>
  <c r="L154" i="10" s="1"/>
  <c r="K161" i="10"/>
  <c r="L161" i="10" s="1"/>
  <c r="R161" i="10" s="1"/>
  <c r="K201" i="10"/>
  <c r="I204" i="10"/>
  <c r="P204" i="10"/>
  <c r="P206" i="10" s="1"/>
  <c r="E236" i="10"/>
  <c r="G119" i="10"/>
  <c r="G120" i="10"/>
  <c r="G123" i="10"/>
  <c r="G125" i="10"/>
  <c r="G126" i="10"/>
  <c r="F140" i="10"/>
  <c r="G129" i="10"/>
  <c r="K130" i="10"/>
  <c r="L133" i="10"/>
  <c r="R133" i="10" s="1"/>
  <c r="L134" i="10"/>
  <c r="R135" i="10"/>
  <c r="K138" i="10"/>
  <c r="L138" i="10" s="1"/>
  <c r="R138" i="10"/>
  <c r="I139" i="10"/>
  <c r="R139" i="10" s="1"/>
  <c r="E140" i="10"/>
  <c r="E144" i="10"/>
  <c r="G143" i="10"/>
  <c r="P143" i="10" s="1"/>
  <c r="G144" i="10"/>
  <c r="G146" i="10"/>
  <c r="K147" i="10"/>
  <c r="L147" i="10" s="1"/>
  <c r="K153" i="10"/>
  <c r="R160" i="10"/>
  <c r="K160" i="10"/>
  <c r="L160" i="10"/>
  <c r="R162" i="10"/>
  <c r="E171" i="10"/>
  <c r="F166" i="10"/>
  <c r="F171" i="10" s="1"/>
  <c r="G166" i="10"/>
  <c r="G180" i="10"/>
  <c r="L182" i="10"/>
  <c r="L185" i="10" s="1"/>
  <c r="K193" i="10"/>
  <c r="K196" i="10" s="1"/>
  <c r="R193" i="10"/>
  <c r="L193" i="10"/>
  <c r="L196" i="10" s="1"/>
  <c r="I199" i="10"/>
  <c r="P199" i="10"/>
  <c r="P201" i="10" s="1"/>
  <c r="K230" i="10"/>
  <c r="K232" i="10" s="1"/>
  <c r="P164" i="10"/>
  <c r="K176" i="10"/>
  <c r="L176" i="10" s="1"/>
  <c r="R176" i="10"/>
  <c r="K177" i="10"/>
  <c r="L177" i="10" s="1"/>
  <c r="K185" i="10"/>
  <c r="L198" i="10"/>
  <c r="L201" i="10" s="1"/>
  <c r="L203" i="10"/>
  <c r="L206" i="10" s="1"/>
  <c r="K212" i="10"/>
  <c r="I219" i="10"/>
  <c r="R219" i="10"/>
  <c r="E157" i="10"/>
  <c r="G157" i="10" s="1"/>
  <c r="E164" i="10"/>
  <c r="F159" i="10"/>
  <c r="R168" i="10"/>
  <c r="K168" i="10"/>
  <c r="L168" i="10" s="1"/>
  <c r="K173" i="10"/>
  <c r="R174" i="10"/>
  <c r="K174" i="10"/>
  <c r="L174" i="10" s="1"/>
  <c r="R184" i="10"/>
  <c r="I184" i="10"/>
  <c r="I185" i="10" s="1"/>
  <c r="R189" i="10"/>
  <c r="I191" i="10"/>
  <c r="S210" i="10"/>
  <c r="K221" i="10"/>
  <c r="H26" i="9"/>
  <c r="R26" i="9" s="1"/>
  <c r="O26" i="9"/>
  <c r="P34" i="9"/>
  <c r="R34" i="9" s="1"/>
  <c r="K70" i="9"/>
  <c r="L70" i="9" s="1"/>
  <c r="R70" i="9" s="1"/>
  <c r="I125" i="9"/>
  <c r="K125" i="9"/>
  <c r="J38" i="9"/>
  <c r="R35" i="9"/>
  <c r="L58" i="9"/>
  <c r="R58" i="9"/>
  <c r="K58" i="9"/>
  <c r="P30" i="9"/>
  <c r="R30" i="9"/>
  <c r="R33" i="9"/>
  <c r="P33" i="9"/>
  <c r="L73" i="9"/>
  <c r="R73" i="9" s="1"/>
  <c r="H23" i="9"/>
  <c r="H27" i="9" s="1"/>
  <c r="H233" i="9" s="1"/>
  <c r="R23" i="9"/>
  <c r="O23" i="9"/>
  <c r="P29" i="9"/>
  <c r="P46" i="9"/>
  <c r="I45" i="9"/>
  <c r="I46" i="9" s="1"/>
  <c r="P45" i="9"/>
  <c r="G46" i="9"/>
  <c r="R45" i="9"/>
  <c r="K72" i="9"/>
  <c r="L72" i="9" s="1"/>
  <c r="R72" i="9" s="1"/>
  <c r="R75" i="9"/>
  <c r="K75" i="9"/>
  <c r="E238" i="9"/>
  <c r="G15" i="9"/>
  <c r="G27" i="9" s="1"/>
  <c r="R16" i="9"/>
  <c r="H22" i="9"/>
  <c r="P37" i="9"/>
  <c r="R37" i="9" s="1"/>
  <c r="F38" i="9"/>
  <c r="L48" i="9"/>
  <c r="R49" i="9"/>
  <c r="K56" i="9"/>
  <c r="K57" i="9"/>
  <c r="G60" i="9"/>
  <c r="G64" i="9"/>
  <c r="K73" i="9"/>
  <c r="K74" i="9"/>
  <c r="R74" i="9"/>
  <c r="E236" i="9"/>
  <c r="G76" i="9"/>
  <c r="G83" i="9"/>
  <c r="L88" i="9"/>
  <c r="K88" i="9"/>
  <c r="R88" i="9" s="1"/>
  <c r="K93" i="9"/>
  <c r="L93" i="9" s="1"/>
  <c r="R93" i="9" s="1"/>
  <c r="R95" i="9"/>
  <c r="K97" i="9"/>
  <c r="L97" i="9" s="1"/>
  <c r="R97" i="9" s="1"/>
  <c r="I107" i="9"/>
  <c r="L107" i="9" s="1"/>
  <c r="K107" i="9"/>
  <c r="R107" i="9" s="1"/>
  <c r="F123" i="9"/>
  <c r="E127" i="9"/>
  <c r="I184" i="9"/>
  <c r="I185" i="9" s="1"/>
  <c r="P184" i="9"/>
  <c r="P185" i="9" s="1"/>
  <c r="G54" i="9"/>
  <c r="R63" i="9"/>
  <c r="K77" i="9"/>
  <c r="I77" i="9"/>
  <c r="R80" i="9"/>
  <c r="R91" i="9"/>
  <c r="S91" i="9" s="1"/>
  <c r="K100" i="9"/>
  <c r="L100" i="9" s="1"/>
  <c r="R100" i="9" s="1"/>
  <c r="R15" i="9"/>
  <c r="R17" i="9"/>
  <c r="R19" i="9"/>
  <c r="O22" i="9"/>
  <c r="O27" i="9" s="1"/>
  <c r="O233" i="9" s="1"/>
  <c r="H25" i="9"/>
  <c r="R25" i="9" s="1"/>
  <c r="M27" i="9"/>
  <c r="M233" i="9" s="1"/>
  <c r="P31" i="9"/>
  <c r="R31" i="9" s="1"/>
  <c r="P36" i="9"/>
  <c r="R36" i="9" s="1"/>
  <c r="O54" i="9"/>
  <c r="R51" i="9"/>
  <c r="R59" i="9"/>
  <c r="L63" i="9"/>
  <c r="K66" i="9"/>
  <c r="R66" i="9" s="1"/>
  <c r="L67" i="9"/>
  <c r="R67" i="9" s="1"/>
  <c r="K68" i="9"/>
  <c r="K71" i="9"/>
  <c r="R71" i="9" s="1"/>
  <c r="L74" i="9"/>
  <c r="R79" i="9"/>
  <c r="L85" i="9"/>
  <c r="K85" i="9"/>
  <c r="R85" i="9" s="1"/>
  <c r="K90" i="9"/>
  <c r="L90" i="9" s="1"/>
  <c r="F111" i="9"/>
  <c r="L95" i="9"/>
  <c r="L99" i="9"/>
  <c r="R99" i="9" s="1"/>
  <c r="K101" i="9"/>
  <c r="F108" i="9"/>
  <c r="G108" i="9" s="1"/>
  <c r="F120" i="9"/>
  <c r="F121" i="9" s="1"/>
  <c r="G120" i="9"/>
  <c r="K133" i="9"/>
  <c r="L133" i="9"/>
  <c r="R133" i="9" s="1"/>
  <c r="P140" i="9"/>
  <c r="R139" i="9"/>
  <c r="R149" i="9"/>
  <c r="P149" i="9"/>
  <c r="L154" i="9"/>
  <c r="K154" i="9"/>
  <c r="R154" i="9" s="1"/>
  <c r="R18" i="9"/>
  <c r="G38" i="9"/>
  <c r="R52" i="9"/>
  <c r="L56" i="9"/>
  <c r="N233" i="9"/>
  <c r="L96" i="9"/>
  <c r="R96" i="9" s="1"/>
  <c r="G144" i="9"/>
  <c r="L142" i="9"/>
  <c r="L144" i="9" s="1"/>
  <c r="K142" i="9"/>
  <c r="K144" i="9" s="1"/>
  <c r="I148" i="9"/>
  <c r="I151" i="9" s="1"/>
  <c r="R148" i="9"/>
  <c r="P148" i="9"/>
  <c r="O25" i="9"/>
  <c r="E27" i="9"/>
  <c r="G40" i="9"/>
  <c r="R43" i="9"/>
  <c r="J44" i="9"/>
  <c r="J46" i="9" s="1"/>
  <c r="R48" i="9"/>
  <c r="L53" i="9"/>
  <c r="R53" i="9" s="1"/>
  <c r="F60" i="9"/>
  <c r="L66" i="9"/>
  <c r="K69" i="9"/>
  <c r="L69" i="9" s="1"/>
  <c r="L71" i="9"/>
  <c r="G81" i="9"/>
  <c r="R84" i="9"/>
  <c r="R87" i="9"/>
  <c r="K89" i="9"/>
  <c r="L89" i="9" s="1"/>
  <c r="R89" i="9"/>
  <c r="L98" i="9"/>
  <c r="L101" i="9"/>
  <c r="R101" i="9" s="1"/>
  <c r="K103" i="9"/>
  <c r="R103" i="9"/>
  <c r="L103" i="9"/>
  <c r="K113" i="9"/>
  <c r="I113" i="9"/>
  <c r="R104" i="9"/>
  <c r="G124" i="9"/>
  <c r="P126" i="9"/>
  <c r="P127" i="9" s="1"/>
  <c r="K161" i="9"/>
  <c r="K191" i="9"/>
  <c r="L188" i="9"/>
  <c r="L191" i="9" s="1"/>
  <c r="L206" i="9"/>
  <c r="R203" i="9"/>
  <c r="P79" i="9"/>
  <c r="P80" i="9"/>
  <c r="K86" i="9"/>
  <c r="K94" i="9"/>
  <c r="K98" i="9"/>
  <c r="K104" i="9"/>
  <c r="I105" i="9"/>
  <c r="F116" i="9"/>
  <c r="G116" i="9" s="1"/>
  <c r="E121" i="9"/>
  <c r="F124" i="9"/>
  <c r="F126" i="9"/>
  <c r="G126" i="9" s="1"/>
  <c r="G140" i="9"/>
  <c r="K129" i="9"/>
  <c r="L130" i="9"/>
  <c r="K147" i="9"/>
  <c r="L147" i="9" s="1"/>
  <c r="P156" i="9"/>
  <c r="P157" i="9" s="1"/>
  <c r="R156" i="9"/>
  <c r="I156" i="9"/>
  <c r="I157" i="9" s="1"/>
  <c r="E164" i="9"/>
  <c r="G164" i="9" s="1"/>
  <c r="F159" i="9"/>
  <c r="F164" i="9" s="1"/>
  <c r="G159" i="9"/>
  <c r="K160" i="9"/>
  <c r="L160" i="9"/>
  <c r="P162" i="9"/>
  <c r="P164" i="9" s="1"/>
  <c r="R162" i="9"/>
  <c r="K174" i="9"/>
  <c r="K180" i="9" s="1"/>
  <c r="R174" i="9"/>
  <c r="L174" i="9"/>
  <c r="F185" i="9"/>
  <c r="G185" i="9" s="1"/>
  <c r="G182" i="9"/>
  <c r="I231" i="9"/>
  <c r="P231" i="9"/>
  <c r="P232" i="9" s="1"/>
  <c r="C233" i="9"/>
  <c r="E235" i="9"/>
  <c r="E239" i="9" s="1"/>
  <c r="E241" i="9" s="1"/>
  <c r="E54" i="9"/>
  <c r="G78" i="9"/>
  <c r="R102" i="9"/>
  <c r="L104" i="9"/>
  <c r="L105" i="9"/>
  <c r="R106" i="9"/>
  <c r="R110" i="9"/>
  <c r="R114" i="9"/>
  <c r="G115" i="9"/>
  <c r="E117" i="9"/>
  <c r="G119" i="9"/>
  <c r="N127" i="9"/>
  <c r="L129" i="9"/>
  <c r="R130" i="9"/>
  <c r="K135" i="9"/>
  <c r="L135" i="9" s="1"/>
  <c r="K136" i="9"/>
  <c r="K146" i="9"/>
  <c r="R160" i="9"/>
  <c r="I162" i="9"/>
  <c r="I164" i="9" s="1"/>
  <c r="G171" i="9"/>
  <c r="K166" i="9"/>
  <c r="L166" i="9" s="1"/>
  <c r="P180" i="9"/>
  <c r="R178" i="9"/>
  <c r="P219" i="9"/>
  <c r="I219" i="9"/>
  <c r="R219" i="9" s="1"/>
  <c r="K225" i="9"/>
  <c r="L223" i="9"/>
  <c r="L225" i="9" s="1"/>
  <c r="R137" i="9"/>
  <c r="L138" i="9"/>
  <c r="R138" i="9" s="1"/>
  <c r="R143" i="9"/>
  <c r="E157" i="9"/>
  <c r="F153" i="9"/>
  <c r="R155" i="9"/>
  <c r="L155" i="9"/>
  <c r="L173" i="9"/>
  <c r="K176" i="9"/>
  <c r="L176" i="9" s="1"/>
  <c r="R176" i="9" s="1"/>
  <c r="R199" i="9"/>
  <c r="G220" i="9"/>
  <c r="P220" i="9" s="1"/>
  <c r="R220" i="9" s="1"/>
  <c r="S220" i="9" s="1"/>
  <c r="E221" i="9"/>
  <c r="G221" i="9" s="1"/>
  <c r="K168" i="9"/>
  <c r="L168" i="9"/>
  <c r="L183" i="9"/>
  <c r="I191" i="9"/>
  <c r="I196" i="9"/>
  <c r="P201" i="9"/>
  <c r="R213" i="9"/>
  <c r="I215" i="9"/>
  <c r="K167" i="9"/>
  <c r="K177" i="9"/>
  <c r="L177" i="9"/>
  <c r="K183" i="9"/>
  <c r="K185" i="9" s="1"/>
  <c r="P189" i="9"/>
  <c r="P191" i="9" s="1"/>
  <c r="I206" i="9"/>
  <c r="R212" i="9"/>
  <c r="P215" i="9"/>
  <c r="L230" i="9"/>
  <c r="L232" i="9" s="1"/>
  <c r="K230" i="9"/>
  <c r="K232" i="9" s="1"/>
  <c r="R227" i="9"/>
  <c r="R193" i="9"/>
  <c r="R209" i="9"/>
  <c r="P224" i="9"/>
  <c r="P225" i="9" s="1"/>
  <c r="L227" i="9"/>
  <c r="L228" i="9" s="1"/>
  <c r="K228" i="9"/>
  <c r="I218" i="9"/>
  <c r="F159" i="8"/>
  <c r="F164" i="8" s="1"/>
  <c r="G164" i="8" s="1"/>
  <c r="G159" i="8"/>
  <c r="G15" i="8"/>
  <c r="G27" i="8" s="1"/>
  <c r="H25" i="8"/>
  <c r="O25" i="8"/>
  <c r="R26" i="8"/>
  <c r="E27" i="8"/>
  <c r="P32" i="8"/>
  <c r="R32" i="8"/>
  <c r="K58" i="8"/>
  <c r="K69" i="8"/>
  <c r="L69" i="8" s="1"/>
  <c r="R69" i="8" s="1"/>
  <c r="L73" i="8"/>
  <c r="R73" i="8" s="1"/>
  <c r="K73" i="8"/>
  <c r="L92" i="8"/>
  <c r="R92" i="8" s="1"/>
  <c r="K92" i="8"/>
  <c r="K120" i="8"/>
  <c r="L120" i="8" s="1"/>
  <c r="R120" i="8" s="1"/>
  <c r="I120" i="8"/>
  <c r="R15" i="8"/>
  <c r="O24" i="8"/>
  <c r="M27" i="8"/>
  <c r="M233" i="8" s="1"/>
  <c r="R33" i="8"/>
  <c r="P33" i="8"/>
  <c r="G60" i="8"/>
  <c r="L56" i="8"/>
  <c r="K56" i="8"/>
  <c r="L63" i="8"/>
  <c r="K70" i="8"/>
  <c r="L70" i="8" s="1"/>
  <c r="K93" i="8"/>
  <c r="L93" i="8"/>
  <c r="R93" i="8" s="1"/>
  <c r="K103" i="8"/>
  <c r="R103" i="8" s="1"/>
  <c r="L103" i="8"/>
  <c r="K108" i="8"/>
  <c r="L108" i="8" s="1"/>
  <c r="H17" i="8"/>
  <c r="H22" i="8"/>
  <c r="R22" i="8" s="1"/>
  <c r="O22" i="8"/>
  <c r="O27" i="8" s="1"/>
  <c r="O233" i="8" s="1"/>
  <c r="R23" i="8"/>
  <c r="H24" i="8"/>
  <c r="R24" i="8" s="1"/>
  <c r="E38" i="8"/>
  <c r="G38" i="8" s="1"/>
  <c r="G29" i="8"/>
  <c r="R41" i="8"/>
  <c r="L71" i="8"/>
  <c r="K71" i="8"/>
  <c r="R71" i="8" s="1"/>
  <c r="K100" i="8"/>
  <c r="L100" i="8" s="1"/>
  <c r="R100" i="8" s="1"/>
  <c r="R19" i="8"/>
  <c r="R20" i="8"/>
  <c r="K57" i="8"/>
  <c r="L57" i="8" s="1"/>
  <c r="R57" i="8" s="1"/>
  <c r="K72" i="8"/>
  <c r="K85" i="8"/>
  <c r="L85" i="8"/>
  <c r="R85" i="8" s="1"/>
  <c r="L91" i="8"/>
  <c r="K91" i="8"/>
  <c r="R91" i="8"/>
  <c r="R101" i="8"/>
  <c r="L101" i="8"/>
  <c r="I107" i="8"/>
  <c r="L107" i="8" s="1"/>
  <c r="R107" i="8" s="1"/>
  <c r="K107" i="8"/>
  <c r="R36" i="8"/>
  <c r="R37" i="8"/>
  <c r="L48" i="8"/>
  <c r="L54" i="8" s="1"/>
  <c r="G115" i="8"/>
  <c r="F115" i="8"/>
  <c r="F116" i="8"/>
  <c r="G116" i="8" s="1"/>
  <c r="E117" i="8"/>
  <c r="G124" i="8"/>
  <c r="F124" i="8"/>
  <c r="E239" i="8"/>
  <c r="E241" i="8" s="1"/>
  <c r="R51" i="8"/>
  <c r="R52" i="8"/>
  <c r="E54" i="8"/>
  <c r="P59" i="8"/>
  <c r="P60" i="8" s="1"/>
  <c r="R63" i="8"/>
  <c r="K64" i="8"/>
  <c r="R66" i="8"/>
  <c r="K67" i="8"/>
  <c r="R67" i="8" s="1"/>
  <c r="K74" i="8"/>
  <c r="R74" i="8" s="1"/>
  <c r="G78" i="8"/>
  <c r="K84" i="8"/>
  <c r="R84" i="8" s="1"/>
  <c r="L86" i="8"/>
  <c r="R86" i="8" s="1"/>
  <c r="K87" i="8"/>
  <c r="R87" i="8" s="1"/>
  <c r="E111" i="8"/>
  <c r="K89" i="8"/>
  <c r="R89" i="8" s="1"/>
  <c r="L94" i="8"/>
  <c r="R94" i="8" s="1"/>
  <c r="K95" i="8"/>
  <c r="R95" i="8" s="1"/>
  <c r="K104" i="8"/>
  <c r="I105" i="8"/>
  <c r="I111" i="8" s="1"/>
  <c r="G113" i="8"/>
  <c r="L114" i="8"/>
  <c r="R139" i="8"/>
  <c r="P139" i="8"/>
  <c r="P140" i="8" s="1"/>
  <c r="I139" i="8"/>
  <c r="R40" i="8"/>
  <c r="S41" i="8" s="1"/>
  <c r="G44" i="8"/>
  <c r="G54" i="8"/>
  <c r="L64" i="8"/>
  <c r="L67" i="8"/>
  <c r="R68" i="8"/>
  <c r="L74" i="8"/>
  <c r="R77" i="8"/>
  <c r="L84" i="8"/>
  <c r="L87" i="8"/>
  <c r="G88" i="8"/>
  <c r="L89" i="8"/>
  <c r="F90" i="8"/>
  <c r="F111" i="8" s="1"/>
  <c r="L95" i="8"/>
  <c r="K96" i="8"/>
  <c r="K97" i="8"/>
  <c r="L97" i="8" s="1"/>
  <c r="R97" i="8" s="1"/>
  <c r="L98" i="8"/>
  <c r="R98" i="8" s="1"/>
  <c r="L105" i="8"/>
  <c r="R110" i="8"/>
  <c r="K114" i="8"/>
  <c r="R114" i="8" s="1"/>
  <c r="P116" i="8"/>
  <c r="P117" i="8" s="1"/>
  <c r="G119" i="8"/>
  <c r="G123" i="8"/>
  <c r="G125" i="8"/>
  <c r="G126" i="8"/>
  <c r="P126" i="8"/>
  <c r="P127" i="8" s="1"/>
  <c r="F126" i="8"/>
  <c r="F127" i="8" s="1"/>
  <c r="L134" i="8"/>
  <c r="R134" i="8" s="1"/>
  <c r="P149" i="8"/>
  <c r="P151" i="8" s="1"/>
  <c r="G76" i="8"/>
  <c r="G83" i="8"/>
  <c r="L96" i="8"/>
  <c r="R96" i="8" s="1"/>
  <c r="K102" i="8"/>
  <c r="L102" i="8" s="1"/>
  <c r="R105" i="8"/>
  <c r="K106" i="8"/>
  <c r="L106" i="8" s="1"/>
  <c r="I110" i="8"/>
  <c r="L130" i="8"/>
  <c r="K130" i="8"/>
  <c r="R130" i="8"/>
  <c r="R138" i="8"/>
  <c r="E121" i="8"/>
  <c r="E127" i="8"/>
  <c r="K129" i="8"/>
  <c r="K133" i="8"/>
  <c r="R133" i="8" s="1"/>
  <c r="I136" i="8"/>
  <c r="I140" i="8" s="1"/>
  <c r="L138" i="8"/>
  <c r="G140" i="8"/>
  <c r="L142" i="8"/>
  <c r="L144" i="8" s="1"/>
  <c r="R143" i="8"/>
  <c r="G144" i="8"/>
  <c r="F146" i="8"/>
  <c r="F151" i="8" s="1"/>
  <c r="G151" i="8" s="1"/>
  <c r="L147" i="8"/>
  <c r="R147" i="8" s="1"/>
  <c r="G157" i="8"/>
  <c r="R169" i="8"/>
  <c r="K173" i="8"/>
  <c r="K177" i="8"/>
  <c r="L177" i="8" s="1"/>
  <c r="P179" i="8"/>
  <c r="R179" i="8" s="1"/>
  <c r="P191" i="8"/>
  <c r="R213" i="8"/>
  <c r="P219" i="8"/>
  <c r="P221" i="8" s="1"/>
  <c r="I219" i="8"/>
  <c r="L133" i="8"/>
  <c r="K136" i="8"/>
  <c r="G146" i="8"/>
  <c r="L155" i="8"/>
  <c r="K155" i="8"/>
  <c r="R155" i="8"/>
  <c r="K159" i="8"/>
  <c r="K166" i="8"/>
  <c r="K171" i="8" s="1"/>
  <c r="G171" i="8"/>
  <c r="G182" i="8"/>
  <c r="P204" i="8"/>
  <c r="P206" i="8" s="1"/>
  <c r="I204" i="8"/>
  <c r="R212" i="8"/>
  <c r="P224" i="8"/>
  <c r="P225" i="8" s="1"/>
  <c r="I224" i="8"/>
  <c r="I225" i="8" s="1"/>
  <c r="L136" i="8"/>
  <c r="R142" i="8"/>
  <c r="K153" i="8"/>
  <c r="K157" i="8" s="1"/>
  <c r="R154" i="8"/>
  <c r="K161" i="8"/>
  <c r="R170" i="8"/>
  <c r="P170" i="8"/>
  <c r="K174" i="8"/>
  <c r="L176" i="8"/>
  <c r="R176" i="8" s="1"/>
  <c r="K176" i="8"/>
  <c r="G185" i="8"/>
  <c r="K193" i="8"/>
  <c r="K196" i="8" s="1"/>
  <c r="P199" i="8"/>
  <c r="P201" i="8" s="1"/>
  <c r="I199" i="8"/>
  <c r="I221" i="8"/>
  <c r="K230" i="8"/>
  <c r="K232" i="8" s="1"/>
  <c r="R150" i="8"/>
  <c r="K160" i="8"/>
  <c r="L160" i="8" s="1"/>
  <c r="R160" i="8" s="1"/>
  <c r="L174" i="8"/>
  <c r="R174" i="8" s="1"/>
  <c r="K210" i="8"/>
  <c r="L208" i="8"/>
  <c r="L210" i="8" s="1"/>
  <c r="K225" i="8"/>
  <c r="L223" i="8"/>
  <c r="L225" i="8" s="1"/>
  <c r="P156" i="8"/>
  <c r="P157" i="8" s="1"/>
  <c r="P162" i="8"/>
  <c r="P164" i="8" s="1"/>
  <c r="L167" i="8"/>
  <c r="R167" i="8" s="1"/>
  <c r="L183" i="8"/>
  <c r="R183" i="8" s="1"/>
  <c r="P194" i="8"/>
  <c r="P196" i="8" s="1"/>
  <c r="E221" i="8"/>
  <c r="G221" i="8" s="1"/>
  <c r="P231" i="8"/>
  <c r="P232" i="8" s="1"/>
  <c r="P169" i="8"/>
  <c r="L175" i="8"/>
  <c r="R175" i="8" s="1"/>
  <c r="P178" i="8"/>
  <c r="P180" i="8" s="1"/>
  <c r="E180" i="8"/>
  <c r="G180" i="8" s="1"/>
  <c r="R189" i="8"/>
  <c r="L198" i="8"/>
  <c r="L201" i="8" s="1"/>
  <c r="L203" i="8"/>
  <c r="L206" i="8" s="1"/>
  <c r="P209" i="8"/>
  <c r="P210" i="8" s="1"/>
  <c r="P213" i="8"/>
  <c r="P215" i="8" s="1"/>
  <c r="L218" i="8"/>
  <c r="R218" i="8" s="1"/>
  <c r="L227" i="8"/>
  <c r="L228" i="8" s="1"/>
  <c r="P33" i="7"/>
  <c r="R33" i="7" s="1"/>
  <c r="R67" i="7"/>
  <c r="K69" i="7"/>
  <c r="L69" i="7" s="1"/>
  <c r="R69" i="7" s="1"/>
  <c r="L73" i="7"/>
  <c r="R73" i="7" s="1"/>
  <c r="K73" i="7"/>
  <c r="R31" i="7"/>
  <c r="P31" i="7"/>
  <c r="G60" i="7"/>
  <c r="K56" i="7"/>
  <c r="K70" i="7"/>
  <c r="R58" i="7"/>
  <c r="K58" i="7"/>
  <c r="L58" i="7"/>
  <c r="R34" i="7"/>
  <c r="R50" i="7"/>
  <c r="K71" i="7"/>
  <c r="L71" i="7" s="1"/>
  <c r="R71" i="7" s="1"/>
  <c r="L86" i="7"/>
  <c r="R86" i="7" s="1"/>
  <c r="O18" i="7"/>
  <c r="O27" i="7" s="1"/>
  <c r="O233" i="7" s="1"/>
  <c r="R18" i="7"/>
  <c r="K54" i="7"/>
  <c r="L48" i="7"/>
  <c r="L54" i="7" s="1"/>
  <c r="K57" i="7"/>
  <c r="L57" i="7" s="1"/>
  <c r="K72" i="7"/>
  <c r="P149" i="7"/>
  <c r="R149" i="7"/>
  <c r="S149" i="7" s="1"/>
  <c r="K160" i="7"/>
  <c r="G15" i="7"/>
  <c r="G27" i="7" s="1"/>
  <c r="G16" i="7"/>
  <c r="H17" i="7"/>
  <c r="H19" i="7"/>
  <c r="R19" i="7" s="1"/>
  <c r="R22" i="7"/>
  <c r="H23" i="7"/>
  <c r="R23" i="7" s="1"/>
  <c r="R25" i="7"/>
  <c r="H26" i="7"/>
  <c r="R26" i="7" s="1"/>
  <c r="C233" i="7"/>
  <c r="P30" i="7"/>
  <c r="R30" i="7" s="1"/>
  <c r="P34" i="7"/>
  <c r="G35" i="7"/>
  <c r="P40" i="7"/>
  <c r="P41" i="7" s="1"/>
  <c r="R41" i="7" s="1"/>
  <c r="I45" i="7"/>
  <c r="I46" i="7" s="1"/>
  <c r="E235" i="7"/>
  <c r="R48" i="7"/>
  <c r="L49" i="7"/>
  <c r="R49" i="7" s="1"/>
  <c r="L50" i="7"/>
  <c r="R51" i="7"/>
  <c r="R52" i="7"/>
  <c r="E54" i="7"/>
  <c r="P59" i="7"/>
  <c r="P60" i="7" s="1"/>
  <c r="K64" i="7"/>
  <c r="L64" i="7" s="1"/>
  <c r="R64" i="7" s="1"/>
  <c r="R66" i="7"/>
  <c r="K67" i="7"/>
  <c r="N81" i="7"/>
  <c r="K74" i="7"/>
  <c r="R77" i="7"/>
  <c r="I78" i="7"/>
  <c r="R78" i="7" s="1"/>
  <c r="R79" i="7"/>
  <c r="L85" i="7"/>
  <c r="R87" i="7"/>
  <c r="L89" i="7"/>
  <c r="R89" i="7" s="1"/>
  <c r="L96" i="7"/>
  <c r="R96" i="7" s="1"/>
  <c r="K96" i="7"/>
  <c r="L99" i="7"/>
  <c r="R99" i="7" s="1"/>
  <c r="G113" i="7"/>
  <c r="K114" i="7"/>
  <c r="G130" i="7"/>
  <c r="F140" i="7"/>
  <c r="K215" i="7"/>
  <c r="L212" i="7"/>
  <c r="L215" i="7" s="1"/>
  <c r="K86" i="7"/>
  <c r="L101" i="7"/>
  <c r="R101" i="7" s="1"/>
  <c r="I116" i="7"/>
  <c r="R116" i="7"/>
  <c r="L154" i="7"/>
  <c r="R154" i="7" s="1"/>
  <c r="K154" i="7"/>
  <c r="R14" i="7"/>
  <c r="R15" i="7"/>
  <c r="K17" i="7"/>
  <c r="O23" i="7"/>
  <c r="O26" i="7"/>
  <c r="E27" i="7"/>
  <c r="P45" i="7"/>
  <c r="P46" i="7"/>
  <c r="G54" i="7"/>
  <c r="G81" i="7"/>
  <c r="L67" i="7"/>
  <c r="R68" i="7"/>
  <c r="L74" i="7"/>
  <c r="R74" i="7" s="1"/>
  <c r="E111" i="7"/>
  <c r="G88" i="7"/>
  <c r="K91" i="7"/>
  <c r="L91" i="7" s="1"/>
  <c r="R91" i="7" s="1"/>
  <c r="K92" i="7"/>
  <c r="L100" i="7"/>
  <c r="R100" i="7" s="1"/>
  <c r="K100" i="7"/>
  <c r="K102" i="7"/>
  <c r="K106" i="7"/>
  <c r="K175" i="7"/>
  <c r="L175" i="7" s="1"/>
  <c r="R175" i="7" s="1"/>
  <c r="I196" i="7"/>
  <c r="R194" i="7"/>
  <c r="L95" i="7"/>
  <c r="R95" i="7" s="1"/>
  <c r="L104" i="7"/>
  <c r="R104" i="7" s="1"/>
  <c r="K104" i="7"/>
  <c r="P110" i="7"/>
  <c r="P111" i="7" s="1"/>
  <c r="I110" i="7"/>
  <c r="R110" i="7" s="1"/>
  <c r="G29" i="7"/>
  <c r="J44" i="7"/>
  <c r="J46" i="7" s="1"/>
  <c r="K63" i="7"/>
  <c r="E81" i="7"/>
  <c r="G76" i="7"/>
  <c r="I77" i="7"/>
  <c r="L77" i="7" s="1"/>
  <c r="R80" i="7"/>
  <c r="K83" i="7"/>
  <c r="R85" i="7"/>
  <c r="F90" i="7"/>
  <c r="F111" i="7" s="1"/>
  <c r="K93" i="7"/>
  <c r="I111" i="7"/>
  <c r="F108" i="7"/>
  <c r="G108" i="7" s="1"/>
  <c r="K115" i="7"/>
  <c r="L115" i="7" s="1"/>
  <c r="R115" i="7" s="1"/>
  <c r="G117" i="7"/>
  <c r="K125" i="7"/>
  <c r="L125" i="7" s="1"/>
  <c r="I125" i="7"/>
  <c r="L133" i="7"/>
  <c r="R133" i="7" s="1"/>
  <c r="K133" i="7"/>
  <c r="P139" i="7"/>
  <c r="P140" i="7" s="1"/>
  <c r="I139" i="7"/>
  <c r="R139" i="7"/>
  <c r="G144" i="7"/>
  <c r="K142" i="7"/>
  <c r="K144" i="7" s="1"/>
  <c r="K159" i="7"/>
  <c r="R179" i="7"/>
  <c r="P179" i="7"/>
  <c r="P209" i="7"/>
  <c r="P210" i="7" s="1"/>
  <c r="I209" i="7"/>
  <c r="I210" i="7" s="1"/>
  <c r="R94" i="7"/>
  <c r="R98" i="7"/>
  <c r="R103" i="7"/>
  <c r="R105" i="7"/>
  <c r="L107" i="7"/>
  <c r="G120" i="7"/>
  <c r="G124" i="7"/>
  <c r="N127" i="7"/>
  <c r="L129" i="7"/>
  <c r="P148" i="7"/>
  <c r="P151" i="7" s="1"/>
  <c r="F180" i="7"/>
  <c r="G173" i="7"/>
  <c r="P224" i="7"/>
  <c r="P225" i="7" s="1"/>
  <c r="I224" i="7"/>
  <c r="I225" i="7" s="1"/>
  <c r="R107" i="7"/>
  <c r="F123" i="7"/>
  <c r="F127" i="7" s="1"/>
  <c r="F233" i="7" s="1"/>
  <c r="K136" i="7"/>
  <c r="E151" i="7"/>
  <c r="L155" i="7"/>
  <c r="K155" i="7"/>
  <c r="G164" i="7"/>
  <c r="I191" i="7"/>
  <c r="R189" i="7"/>
  <c r="K210" i="7"/>
  <c r="L208" i="7"/>
  <c r="L210" i="7" s="1"/>
  <c r="E237" i="7"/>
  <c r="G119" i="7"/>
  <c r="F126" i="7"/>
  <c r="G126" i="7" s="1"/>
  <c r="E127" i="7"/>
  <c r="E140" i="7"/>
  <c r="L134" i="7"/>
  <c r="K134" i="7"/>
  <c r="I136" i="7"/>
  <c r="L136" i="7" s="1"/>
  <c r="L138" i="7"/>
  <c r="R138" i="7" s="1"/>
  <c r="F146" i="7"/>
  <c r="F151" i="7" s="1"/>
  <c r="R147" i="7"/>
  <c r="E157" i="7"/>
  <c r="G157" i="7" s="1"/>
  <c r="G153" i="7"/>
  <c r="R155" i="7"/>
  <c r="K161" i="7"/>
  <c r="G166" i="7"/>
  <c r="R168" i="7"/>
  <c r="K174" i="7"/>
  <c r="R178" i="7"/>
  <c r="P178" i="7"/>
  <c r="P180" i="7" s="1"/>
  <c r="I178" i="7"/>
  <c r="I180" i="7" s="1"/>
  <c r="K191" i="7"/>
  <c r="L188" i="7"/>
  <c r="L191" i="7" s="1"/>
  <c r="L198" i="7"/>
  <c r="L201" i="7" s="1"/>
  <c r="L227" i="7"/>
  <c r="L228" i="7" s="1"/>
  <c r="P170" i="7"/>
  <c r="R170" i="7" s="1"/>
  <c r="R177" i="7"/>
  <c r="G185" i="7"/>
  <c r="P191" i="7"/>
  <c r="K193" i="7"/>
  <c r="K196" i="7" s="1"/>
  <c r="P204" i="7"/>
  <c r="P206" i="7" s="1"/>
  <c r="I204" i="7"/>
  <c r="P213" i="7"/>
  <c r="P215" i="7" s="1"/>
  <c r="P219" i="7"/>
  <c r="P221" i="7" s="1"/>
  <c r="I219" i="7"/>
  <c r="R219" i="7" s="1"/>
  <c r="K225" i="7"/>
  <c r="L223" i="7"/>
  <c r="L225" i="7" s="1"/>
  <c r="K227" i="7"/>
  <c r="K228" i="7" s="1"/>
  <c r="K230" i="7"/>
  <c r="K232" i="7" s="1"/>
  <c r="C239" i="7"/>
  <c r="P169" i="7"/>
  <c r="P171" i="7" s="1"/>
  <c r="K176" i="7"/>
  <c r="L176" i="7" s="1"/>
  <c r="K177" i="7"/>
  <c r="L177" i="7" s="1"/>
  <c r="G182" i="7"/>
  <c r="R184" i="7"/>
  <c r="I185" i="7"/>
  <c r="P199" i="7"/>
  <c r="P201" i="7" s="1"/>
  <c r="I199" i="7"/>
  <c r="R203" i="7"/>
  <c r="L203" i="7"/>
  <c r="L206" i="7" s="1"/>
  <c r="I213" i="7"/>
  <c r="I215" i="7" s="1"/>
  <c r="I221" i="7"/>
  <c r="L218" i="7"/>
  <c r="L221" i="7" s="1"/>
  <c r="R231" i="7"/>
  <c r="E180" i="7"/>
  <c r="G180" i="7" s="1"/>
  <c r="R85" i="6"/>
  <c r="S85" i="6" s="1"/>
  <c r="K91" i="6"/>
  <c r="L108" i="6"/>
  <c r="K108" i="6"/>
  <c r="R108" i="6" s="1"/>
  <c r="S108" i="6" s="1"/>
  <c r="O18" i="6"/>
  <c r="R18" i="6" s="1"/>
  <c r="R31" i="6"/>
  <c r="S31" i="6" s="1"/>
  <c r="P31" i="6"/>
  <c r="I116" i="6"/>
  <c r="R116" i="6"/>
  <c r="S116" i="6" s="1"/>
  <c r="R138" i="6"/>
  <c r="S138" i="6" s="1"/>
  <c r="R214" i="6"/>
  <c r="S214" i="6" s="1"/>
  <c r="P215" i="6"/>
  <c r="L161" i="6"/>
  <c r="K70" i="6"/>
  <c r="L70" i="6"/>
  <c r="R70" i="6" s="1"/>
  <c r="S70" i="6" s="1"/>
  <c r="K76" i="6"/>
  <c r="I76" i="6"/>
  <c r="I81" i="6" s="1"/>
  <c r="R20" i="6"/>
  <c r="S20" i="6" s="1"/>
  <c r="O26" i="6"/>
  <c r="H26" i="6"/>
  <c r="R37" i="6"/>
  <c r="S37" i="6" s="1"/>
  <c r="K58" i="6"/>
  <c r="S78" i="6"/>
  <c r="G125" i="6"/>
  <c r="P143" i="6"/>
  <c r="G144" i="6"/>
  <c r="E151" i="6"/>
  <c r="G151" i="6" s="1"/>
  <c r="G146" i="6"/>
  <c r="S14" i="6"/>
  <c r="H20" i="6"/>
  <c r="R26" i="6"/>
  <c r="S26" i="6" s="1"/>
  <c r="P29" i="6"/>
  <c r="K53" i="6"/>
  <c r="L53" i="6"/>
  <c r="R53" i="6" s="1"/>
  <c r="S53" i="6" s="1"/>
  <c r="G56" i="6"/>
  <c r="K68" i="6"/>
  <c r="L68" i="6" s="1"/>
  <c r="R68" i="6" s="1"/>
  <c r="S68" i="6" s="1"/>
  <c r="K75" i="6"/>
  <c r="R75" i="6" s="1"/>
  <c r="S75" i="6" s="1"/>
  <c r="L87" i="6"/>
  <c r="R87" i="6" s="1"/>
  <c r="S87" i="6" s="1"/>
  <c r="L92" i="6"/>
  <c r="R92" i="6" s="1"/>
  <c r="S92" i="6" s="1"/>
  <c r="L100" i="6"/>
  <c r="R100" i="6" s="1"/>
  <c r="S100" i="6" s="1"/>
  <c r="K100" i="6"/>
  <c r="F125" i="6"/>
  <c r="L138" i="6"/>
  <c r="F146" i="6"/>
  <c r="F151" i="6" s="1"/>
  <c r="P150" i="6"/>
  <c r="R150" i="6" s="1"/>
  <c r="S150" i="6" s="1"/>
  <c r="R169" i="6"/>
  <c r="S169" i="6" s="1"/>
  <c r="R174" i="6"/>
  <c r="S174" i="6" s="1"/>
  <c r="P178" i="6"/>
  <c r="P180" i="6" s="1"/>
  <c r="E185" i="6"/>
  <c r="P209" i="6"/>
  <c r="P210" i="6" s="1"/>
  <c r="I209" i="6"/>
  <c r="I210" i="6" s="1"/>
  <c r="K212" i="6"/>
  <c r="K215" i="6" s="1"/>
  <c r="E236" i="6"/>
  <c r="E238" i="6"/>
  <c r="R15" i="6"/>
  <c r="S15" i="6" s="1"/>
  <c r="G15" i="6"/>
  <c r="G27" i="6" s="1"/>
  <c r="K48" i="6"/>
  <c r="L73" i="6"/>
  <c r="R73" i="6" s="1"/>
  <c r="S73" i="6" s="1"/>
  <c r="R80" i="6"/>
  <c r="S80" i="6" s="1"/>
  <c r="L85" i="6"/>
  <c r="G130" i="6"/>
  <c r="R156" i="6"/>
  <c r="S156" i="6" s="1"/>
  <c r="G159" i="6"/>
  <c r="E171" i="6"/>
  <c r="G166" i="6"/>
  <c r="F166" i="6"/>
  <c r="F171" i="6" s="1"/>
  <c r="I169" i="6"/>
  <c r="I171" i="6" s="1"/>
  <c r="L175" i="6"/>
  <c r="R175" i="6" s="1"/>
  <c r="S175" i="6" s="1"/>
  <c r="I178" i="6"/>
  <c r="I180" i="6" s="1"/>
  <c r="F182" i="6"/>
  <c r="F185" i="6" s="1"/>
  <c r="L193" i="6"/>
  <c r="L196" i="6" s="1"/>
  <c r="R199" i="6"/>
  <c r="S199" i="6" s="1"/>
  <c r="O24" i="6"/>
  <c r="H24" i="6"/>
  <c r="R24" i="6" s="1"/>
  <c r="S24" i="6" s="1"/>
  <c r="E27" i="6"/>
  <c r="P33" i="6"/>
  <c r="R33" i="6"/>
  <c r="S33" i="6" s="1"/>
  <c r="E38" i="6"/>
  <c r="G38" i="6" s="1"/>
  <c r="G45" i="6"/>
  <c r="R59" i="6"/>
  <c r="S59" i="6" s="1"/>
  <c r="K66" i="6"/>
  <c r="L66" i="6" s="1"/>
  <c r="R71" i="6"/>
  <c r="S71" i="6" s="1"/>
  <c r="K73" i="6"/>
  <c r="P80" i="6"/>
  <c r="P81" i="6" s="1"/>
  <c r="K103" i="6"/>
  <c r="L103" i="6" s="1"/>
  <c r="R103" i="6" s="1"/>
  <c r="S103" i="6" s="1"/>
  <c r="I136" i="6"/>
  <c r="L147" i="6"/>
  <c r="R147" i="6" s="1"/>
  <c r="S147" i="6" s="1"/>
  <c r="L154" i="6"/>
  <c r="R154" i="6" s="1"/>
  <c r="S154" i="6" s="1"/>
  <c r="P169" i="6"/>
  <c r="K175" i="6"/>
  <c r="R189" i="6"/>
  <c r="K193" i="6"/>
  <c r="K196" i="6" s="1"/>
  <c r="I221" i="6"/>
  <c r="L218" i="6"/>
  <c r="R218" i="6" s="1"/>
  <c r="R224" i="6"/>
  <c r="K227" i="6"/>
  <c r="K228" i="6" s="1"/>
  <c r="R35" i="6"/>
  <c r="S35" i="6" s="1"/>
  <c r="K57" i="6"/>
  <c r="R57" i="6" s="1"/>
  <c r="S57" i="6" s="1"/>
  <c r="E81" i="6"/>
  <c r="K71" i="6"/>
  <c r="K98" i="6"/>
  <c r="L98" i="6" s="1"/>
  <c r="K101" i="6"/>
  <c r="K133" i="6"/>
  <c r="L133" i="6" s="1"/>
  <c r="R133" i="6" s="1"/>
  <c r="S133" i="6" s="1"/>
  <c r="K136" i="6"/>
  <c r="K144" i="6"/>
  <c r="R142" i="6"/>
  <c r="E164" i="6"/>
  <c r="G164" i="6" s="1"/>
  <c r="G160" i="6"/>
  <c r="P206" i="6"/>
  <c r="O22" i="6"/>
  <c r="R22" i="6"/>
  <c r="S22" i="6" s="1"/>
  <c r="H25" i="6"/>
  <c r="R25" i="6" s="1"/>
  <c r="S25" i="6" s="1"/>
  <c r="L57" i="6"/>
  <c r="G64" i="6"/>
  <c r="L71" i="6"/>
  <c r="K104" i="6"/>
  <c r="G115" i="6"/>
  <c r="E117" i="6"/>
  <c r="L142" i="6"/>
  <c r="L144" i="6" s="1"/>
  <c r="P148" i="6"/>
  <c r="L167" i="6"/>
  <c r="R167" i="6" s="1"/>
  <c r="S167" i="6" s="1"/>
  <c r="K176" i="6"/>
  <c r="L176" i="6" s="1"/>
  <c r="I204" i="6"/>
  <c r="H22" i="6"/>
  <c r="P34" i="6"/>
  <c r="R34" i="6" s="1"/>
  <c r="S34" i="6" s="1"/>
  <c r="R43" i="6"/>
  <c r="R49" i="6"/>
  <c r="S49" i="6" s="1"/>
  <c r="K67" i="6"/>
  <c r="K74" i="6"/>
  <c r="K84" i="6"/>
  <c r="L84" i="6" s="1"/>
  <c r="R86" i="6"/>
  <c r="S86" i="6" s="1"/>
  <c r="K107" i="6"/>
  <c r="L107" i="6"/>
  <c r="R107" i="6" s="1"/>
  <c r="S107" i="6" s="1"/>
  <c r="I107" i="6"/>
  <c r="F115" i="6"/>
  <c r="F117" i="6" s="1"/>
  <c r="F120" i="6"/>
  <c r="G120" i="6" s="1"/>
  <c r="K134" i="6"/>
  <c r="L134" i="6" s="1"/>
  <c r="R134" i="6" s="1"/>
  <c r="S134" i="6" s="1"/>
  <c r="I148" i="6"/>
  <c r="I151" i="6" s="1"/>
  <c r="F153" i="6"/>
  <c r="F157" i="6" s="1"/>
  <c r="G157" i="6" s="1"/>
  <c r="K161" i="6"/>
  <c r="P184" i="6"/>
  <c r="P185" i="6" s="1"/>
  <c r="I184" i="6"/>
  <c r="I185" i="6" s="1"/>
  <c r="O17" i="6"/>
  <c r="O27" i="6" s="1"/>
  <c r="O233" i="6" s="1"/>
  <c r="K17" i="6"/>
  <c r="H17" i="6"/>
  <c r="H27" i="6" s="1"/>
  <c r="H233" i="6" s="1"/>
  <c r="P36" i="6"/>
  <c r="R36" i="6" s="1"/>
  <c r="S36" i="6" s="1"/>
  <c r="G40" i="6"/>
  <c r="E41" i="6"/>
  <c r="G41" i="6" s="1"/>
  <c r="P44" i="6"/>
  <c r="J44" i="6"/>
  <c r="R52" i="6"/>
  <c r="S52" i="6" s="1"/>
  <c r="K72" i="6"/>
  <c r="R77" i="6"/>
  <c r="S77" i="6" s="1"/>
  <c r="L89" i="6"/>
  <c r="R89" i="6" s="1"/>
  <c r="S89" i="6" s="1"/>
  <c r="L94" i="6"/>
  <c r="R94" i="6"/>
  <c r="S94" i="6" s="1"/>
  <c r="L105" i="6"/>
  <c r="R105" i="6" s="1"/>
  <c r="S105" i="6" s="1"/>
  <c r="G110" i="6"/>
  <c r="E237" i="6"/>
  <c r="E121" i="6"/>
  <c r="K124" i="6"/>
  <c r="L124" i="6"/>
  <c r="R124" i="6" s="1"/>
  <c r="S124" i="6" s="1"/>
  <c r="P149" i="6"/>
  <c r="R149" i="6"/>
  <c r="S149" i="6" s="1"/>
  <c r="K210" i="6"/>
  <c r="L208" i="6"/>
  <c r="L210" i="6" s="1"/>
  <c r="G220" i="6"/>
  <c r="P220" i="6" s="1"/>
  <c r="E221" i="6"/>
  <c r="G221" i="6" s="1"/>
  <c r="K225" i="6"/>
  <c r="L223" i="6"/>
  <c r="L225" i="6" s="1"/>
  <c r="G119" i="6"/>
  <c r="R170" i="6"/>
  <c r="S170" i="6" s="1"/>
  <c r="K198" i="6"/>
  <c r="K201" i="6" s="1"/>
  <c r="L230" i="6"/>
  <c r="L232" i="6" s="1"/>
  <c r="E235" i="6"/>
  <c r="E239" i="6" s="1"/>
  <c r="E241" i="6" s="1"/>
  <c r="L49" i="6"/>
  <c r="G63" i="6"/>
  <c r="K69" i="6"/>
  <c r="R69" i="6" s="1"/>
  <c r="S69" i="6" s="1"/>
  <c r="K88" i="6"/>
  <c r="R88" i="6" s="1"/>
  <c r="S88" i="6" s="1"/>
  <c r="L96" i="6"/>
  <c r="R96" i="6" s="1"/>
  <c r="S96" i="6" s="1"/>
  <c r="K114" i="6"/>
  <c r="L114" i="6" s="1"/>
  <c r="F119" i="6"/>
  <c r="E127" i="6"/>
  <c r="L135" i="6"/>
  <c r="L137" i="6"/>
  <c r="I162" i="6"/>
  <c r="I164" i="6" s="1"/>
  <c r="P170" i="6"/>
  <c r="L174" i="6"/>
  <c r="L183" i="6"/>
  <c r="R183" i="6" s="1"/>
  <c r="S183" i="6" s="1"/>
  <c r="R203" i="6"/>
  <c r="R230" i="6"/>
  <c r="H21" i="6"/>
  <c r="R21" i="6" s="1"/>
  <c r="S21" i="6" s="1"/>
  <c r="P37" i="6"/>
  <c r="L69" i="6"/>
  <c r="R79" i="6"/>
  <c r="S79" i="6" s="1"/>
  <c r="K83" i="6"/>
  <c r="L88" i="6"/>
  <c r="F90" i="6"/>
  <c r="F111" i="6" s="1"/>
  <c r="L102" i="6"/>
  <c r="R102" i="6" s="1"/>
  <c r="S102" i="6" s="1"/>
  <c r="F123" i="6"/>
  <c r="L129" i="6"/>
  <c r="R135" i="6"/>
  <c r="S135" i="6" s="1"/>
  <c r="K137" i="6"/>
  <c r="R137" i="6" s="1"/>
  <c r="S137" i="6" s="1"/>
  <c r="I139" i="6"/>
  <c r="R139" i="6" s="1"/>
  <c r="S139" i="6" s="1"/>
  <c r="P162" i="6"/>
  <c r="P164" i="6" s="1"/>
  <c r="K203" i="6"/>
  <c r="K206" i="6" s="1"/>
  <c r="K221" i="6"/>
  <c r="I219" i="6"/>
  <c r="G90" i="6"/>
  <c r="L93" i="6"/>
  <c r="R93" i="6" s="1"/>
  <c r="S93" i="6" s="1"/>
  <c r="R97" i="6"/>
  <c r="S97" i="6" s="1"/>
  <c r="G113" i="6"/>
  <c r="F126" i="6"/>
  <c r="G126" i="6" s="1"/>
  <c r="R129" i="6"/>
  <c r="L168" i="6"/>
  <c r="R168" i="6" s="1"/>
  <c r="S168" i="6" s="1"/>
  <c r="G173" i="6"/>
  <c r="L177" i="6"/>
  <c r="K177" i="6"/>
  <c r="I194" i="6"/>
  <c r="P194" i="6"/>
  <c r="P196" i="6" s="1"/>
  <c r="L203" i="6"/>
  <c r="L206" i="6" s="1"/>
  <c r="L217" i="6"/>
  <c r="R219" i="6"/>
  <c r="S219" i="6" s="1"/>
  <c r="I232" i="6"/>
  <c r="R231" i="6"/>
  <c r="S231" i="6" s="1"/>
  <c r="L86" i="6"/>
  <c r="K155" i="6"/>
  <c r="L155" i="6" s="1"/>
  <c r="R155" i="6" s="1"/>
  <c r="S155" i="6" s="1"/>
  <c r="L97" i="5"/>
  <c r="R97" i="5"/>
  <c r="S97" i="5" s="1"/>
  <c r="R78" i="16" l="1"/>
  <c r="R71" i="16"/>
  <c r="L68" i="16"/>
  <c r="R67" i="16"/>
  <c r="R66" i="16"/>
  <c r="R60" i="16"/>
  <c r="L211" i="16"/>
  <c r="L214" i="16" s="1"/>
  <c r="L173" i="16"/>
  <c r="R149" i="16"/>
  <c r="L84" i="16"/>
  <c r="R100" i="16"/>
  <c r="R98" i="16"/>
  <c r="R96" i="16"/>
  <c r="R94" i="16"/>
  <c r="R211" i="16"/>
  <c r="R177" i="16"/>
  <c r="R52" i="16"/>
  <c r="R104" i="16"/>
  <c r="R97" i="16"/>
  <c r="R95" i="16"/>
  <c r="R73" i="16"/>
  <c r="R65" i="16"/>
  <c r="R53" i="16"/>
  <c r="L50" i="16"/>
  <c r="R50" i="16" s="1"/>
  <c r="L217" i="16"/>
  <c r="L220" i="16" s="1"/>
  <c r="R183" i="16"/>
  <c r="L135" i="16"/>
  <c r="L160" i="16"/>
  <c r="R160" i="16" s="1"/>
  <c r="S46" i="16"/>
  <c r="R46" i="16"/>
  <c r="R203" i="16"/>
  <c r="I205" i="16"/>
  <c r="R198" i="16"/>
  <c r="I200" i="16"/>
  <c r="R193" i="16"/>
  <c r="I195" i="16"/>
  <c r="R230" i="16"/>
  <c r="I231" i="16"/>
  <c r="S224" i="16"/>
  <c r="R224" i="16"/>
  <c r="S209" i="16"/>
  <c r="R209" i="16"/>
  <c r="R188" i="16"/>
  <c r="I190" i="16"/>
  <c r="R118" i="16"/>
  <c r="K113" i="16"/>
  <c r="K112" i="16"/>
  <c r="I112" i="16"/>
  <c r="K107" i="16"/>
  <c r="K103" i="16"/>
  <c r="K90" i="16"/>
  <c r="K89" i="16"/>
  <c r="K85" i="16"/>
  <c r="G110" i="16"/>
  <c r="K83" i="16"/>
  <c r="K110" i="16" s="1"/>
  <c r="K75" i="16"/>
  <c r="G81" i="16"/>
  <c r="K64" i="16"/>
  <c r="K81" i="16" s="1"/>
  <c r="K59" i="16"/>
  <c r="K58" i="16"/>
  <c r="G61" i="16"/>
  <c r="K57" i="16"/>
  <c r="K61" i="16" s="1"/>
  <c r="J35" i="16"/>
  <c r="J38" i="16" s="1"/>
  <c r="J232" i="16" s="1"/>
  <c r="K145" i="16"/>
  <c r="K150" i="16" s="1"/>
  <c r="L145" i="16"/>
  <c r="I114" i="16"/>
  <c r="K114" i="16"/>
  <c r="L181" i="16"/>
  <c r="K129" i="16"/>
  <c r="K139" i="16" s="1"/>
  <c r="L129" i="16"/>
  <c r="K124" i="16"/>
  <c r="I124" i="16"/>
  <c r="I126" i="16" s="1"/>
  <c r="K152" i="16"/>
  <c r="K156" i="16" s="1"/>
  <c r="L152" i="16"/>
  <c r="K172" i="16"/>
  <c r="K179" i="16" s="1"/>
  <c r="L172" i="16"/>
  <c r="K123" i="16"/>
  <c r="G126" i="16"/>
  <c r="K122" i="16"/>
  <c r="K126" i="16" s="1"/>
  <c r="L86" i="16"/>
  <c r="R86" i="16" s="1"/>
  <c r="R84" i="16"/>
  <c r="R76" i="16"/>
  <c r="R72" i="16"/>
  <c r="R69" i="16"/>
  <c r="R68" i="16"/>
  <c r="L54" i="16"/>
  <c r="P232" i="16"/>
  <c r="I220" i="16"/>
  <c r="L166" i="16"/>
  <c r="R166" i="16" s="1"/>
  <c r="R162" i="16"/>
  <c r="L137" i="16"/>
  <c r="R137" i="16" s="1"/>
  <c r="L133" i="16"/>
  <c r="R133" i="16" s="1"/>
  <c r="L132" i="16"/>
  <c r="R132" i="16" s="1"/>
  <c r="L182" i="16"/>
  <c r="L165" i="16"/>
  <c r="R161" i="16"/>
  <c r="R158" i="16"/>
  <c r="L119" i="16"/>
  <c r="R119" i="16" s="1"/>
  <c r="R48" i="16"/>
  <c r="R26" i="16"/>
  <c r="R217" i="16"/>
  <c r="L202" i="16"/>
  <c r="L192" i="16"/>
  <c r="R176" i="16"/>
  <c r="L175" i="16"/>
  <c r="L174" i="16"/>
  <c r="R174" i="16"/>
  <c r="R168" i="16"/>
  <c r="L167" i="16"/>
  <c r="R167" i="16" s="1"/>
  <c r="L154" i="16"/>
  <c r="R154" i="16" s="1"/>
  <c r="L153" i="16"/>
  <c r="L141" i="16"/>
  <c r="L143" i="16" s="1"/>
  <c r="L136" i="16"/>
  <c r="R136" i="16" s="1"/>
  <c r="R135" i="16"/>
  <c r="L134" i="16"/>
  <c r="R134" i="16" s="1"/>
  <c r="R212" i="16"/>
  <c r="R182" i="16"/>
  <c r="G139" i="16"/>
  <c r="L197" i="16"/>
  <c r="L200" i="16" s="1"/>
  <c r="L159" i="16"/>
  <c r="L146" i="16"/>
  <c r="R146" i="16" s="1"/>
  <c r="R226" i="16"/>
  <c r="L128" i="16"/>
  <c r="L139" i="16" s="1"/>
  <c r="R125" i="16"/>
  <c r="F232" i="16"/>
  <c r="R141" i="16"/>
  <c r="I139" i="16"/>
  <c r="R229" i="16"/>
  <c r="R218" i="16"/>
  <c r="R173" i="16"/>
  <c r="R230" i="14"/>
  <c r="I231" i="14"/>
  <c r="R203" i="14"/>
  <c r="I205" i="14"/>
  <c r="R198" i="14"/>
  <c r="I200" i="14"/>
  <c r="R193" i="14"/>
  <c r="I195" i="14"/>
  <c r="R188" i="14"/>
  <c r="I190" i="14"/>
  <c r="S179" i="14"/>
  <c r="R179" i="14"/>
  <c r="S143" i="14"/>
  <c r="R143" i="14"/>
  <c r="I81" i="14"/>
  <c r="R78" i="14"/>
  <c r="R54" i="14"/>
  <c r="S46" i="14"/>
  <c r="R46" i="14"/>
  <c r="S27" i="14"/>
  <c r="S224" i="14"/>
  <c r="R224" i="14"/>
  <c r="R220" i="14"/>
  <c r="S220" i="14"/>
  <c r="R205" i="14"/>
  <c r="S205" i="14"/>
  <c r="G170" i="14"/>
  <c r="L165" i="14"/>
  <c r="L170" i="14" s="1"/>
  <c r="K165" i="14"/>
  <c r="L158" i="14"/>
  <c r="L163" i="14" s="1"/>
  <c r="K158" i="14"/>
  <c r="K145" i="14"/>
  <c r="G139" i="14"/>
  <c r="L128" i="14"/>
  <c r="L139" i="14" s="1"/>
  <c r="K128" i="14"/>
  <c r="G126" i="14"/>
  <c r="K122" i="14"/>
  <c r="G120" i="14"/>
  <c r="K118" i="14"/>
  <c r="K120" i="14" s="1"/>
  <c r="I118" i="14"/>
  <c r="K112" i="14"/>
  <c r="K116" i="14" s="1"/>
  <c r="I112" i="14"/>
  <c r="G110" i="14"/>
  <c r="K83" i="14"/>
  <c r="G81" i="14"/>
  <c r="K63" i="14"/>
  <c r="G60" i="14"/>
  <c r="K56" i="14"/>
  <c r="J35" i="14"/>
  <c r="K231" i="14"/>
  <c r="L229" i="14"/>
  <c r="K227" i="14"/>
  <c r="L226" i="14"/>
  <c r="K214" i="14"/>
  <c r="L211" i="14"/>
  <c r="K200" i="14"/>
  <c r="L197" i="14"/>
  <c r="K195" i="14"/>
  <c r="L192" i="14"/>
  <c r="K184" i="14"/>
  <c r="L182" i="14"/>
  <c r="L156" i="14"/>
  <c r="R152" i="14"/>
  <c r="S98" i="13"/>
  <c r="S234" i="13" s="1"/>
  <c r="R234" i="13"/>
  <c r="K90" i="13"/>
  <c r="L90" i="13"/>
  <c r="R90" i="13" s="1"/>
  <c r="K85" i="13"/>
  <c r="L85" i="13" s="1"/>
  <c r="R85" i="13" s="1"/>
  <c r="P38" i="13"/>
  <c r="G172" i="13"/>
  <c r="R103" i="13"/>
  <c r="R96" i="13"/>
  <c r="R77" i="13"/>
  <c r="S77" i="13" s="1"/>
  <c r="S41" i="13"/>
  <c r="S40" i="13"/>
  <c r="G120" i="13"/>
  <c r="I118" i="13"/>
  <c r="I120" i="13" s="1"/>
  <c r="F139" i="13"/>
  <c r="R223" i="13"/>
  <c r="L174" i="13"/>
  <c r="R174" i="13" s="1"/>
  <c r="E232" i="13"/>
  <c r="L217" i="13"/>
  <c r="L220" i="13" s="1"/>
  <c r="L122" i="13"/>
  <c r="R122" i="13" s="1"/>
  <c r="R208" i="13"/>
  <c r="G165" i="13"/>
  <c r="L136" i="13"/>
  <c r="R136" i="13" s="1"/>
  <c r="L133" i="13"/>
  <c r="R133" i="13" s="1"/>
  <c r="O27" i="13"/>
  <c r="O232" i="13" s="1"/>
  <c r="S27" i="13"/>
  <c r="P195" i="13"/>
  <c r="R148" i="13"/>
  <c r="G150" i="13"/>
  <c r="L106" i="13"/>
  <c r="R212" i="13"/>
  <c r="R35" i="13"/>
  <c r="S35" i="13" s="1"/>
  <c r="L100" i="13"/>
  <c r="R100" i="13" s="1"/>
  <c r="L73" i="13"/>
  <c r="R73" i="13" s="1"/>
  <c r="S73" i="13" s="1"/>
  <c r="R26" i="13"/>
  <c r="S26" i="13" s="1"/>
  <c r="R177" i="13"/>
  <c r="R27" i="13"/>
  <c r="K114" i="13"/>
  <c r="I114" i="13"/>
  <c r="I115" i="13"/>
  <c r="R115" i="13" s="1"/>
  <c r="L158" i="13"/>
  <c r="L163" i="13" s="1"/>
  <c r="K158" i="13"/>
  <c r="K163" i="13" s="1"/>
  <c r="P188" i="13"/>
  <c r="P190" i="13" s="1"/>
  <c r="I188" i="13"/>
  <c r="R184" i="13"/>
  <c r="S184" i="13"/>
  <c r="R161" i="13"/>
  <c r="K112" i="13"/>
  <c r="K116" i="13" s="1"/>
  <c r="I112" i="13"/>
  <c r="K50" i="13"/>
  <c r="R50" i="13"/>
  <c r="S50" i="13" s="1"/>
  <c r="L50" i="13"/>
  <c r="G46" i="13"/>
  <c r="R43" i="13"/>
  <c r="F116" i="13"/>
  <c r="G116" i="13" s="1"/>
  <c r="I110" i="13"/>
  <c r="R92" i="13"/>
  <c r="R87" i="13"/>
  <c r="G110" i="13"/>
  <c r="K83" i="13"/>
  <c r="K110" i="13" s="1"/>
  <c r="K143" i="13"/>
  <c r="L76" i="13"/>
  <c r="R76" i="13" s="1"/>
  <c r="S76" i="13" s="1"/>
  <c r="K54" i="13"/>
  <c r="L48" i="13"/>
  <c r="L54" i="13" s="1"/>
  <c r="S38" i="13"/>
  <c r="R38" i="13"/>
  <c r="R64" i="13"/>
  <c r="S64" i="13" s="1"/>
  <c r="R52" i="13"/>
  <c r="S52" i="13" s="1"/>
  <c r="K214" i="13"/>
  <c r="L211" i="13"/>
  <c r="K229" i="13"/>
  <c r="K231" i="13" s="1"/>
  <c r="I195" i="13"/>
  <c r="R193" i="13"/>
  <c r="L184" i="13"/>
  <c r="L146" i="13"/>
  <c r="R146" i="13" s="1"/>
  <c r="I124" i="13"/>
  <c r="K124" i="13"/>
  <c r="L124" i="13" s="1"/>
  <c r="K190" i="13"/>
  <c r="L187" i="13"/>
  <c r="L190" i="13" s="1"/>
  <c r="K154" i="13"/>
  <c r="L154" i="13" s="1"/>
  <c r="R154" i="13" s="1"/>
  <c r="L137" i="13"/>
  <c r="R137" i="13" s="1"/>
  <c r="L132" i="13"/>
  <c r="R132" i="13" s="1"/>
  <c r="K75" i="13"/>
  <c r="R75" i="13" s="1"/>
  <c r="S75" i="13" s="1"/>
  <c r="R106" i="13"/>
  <c r="L141" i="13"/>
  <c r="L143" i="13" s="1"/>
  <c r="R65" i="13"/>
  <c r="S65" i="13" s="1"/>
  <c r="R45" i="13"/>
  <c r="S45" i="13" s="1"/>
  <c r="J232" i="13"/>
  <c r="R134" i="13"/>
  <c r="R57" i="13"/>
  <c r="S57" i="13" s="1"/>
  <c r="R59" i="13"/>
  <c r="S59" i="13" s="1"/>
  <c r="K205" i="13"/>
  <c r="L202" i="13"/>
  <c r="L205" i="13" s="1"/>
  <c r="S224" i="13"/>
  <c r="R224" i="13"/>
  <c r="R192" i="13"/>
  <c r="L173" i="13"/>
  <c r="R173" i="13" s="1"/>
  <c r="K173" i="13"/>
  <c r="G156" i="13"/>
  <c r="G125" i="13"/>
  <c r="R209" i="13"/>
  <c r="S209" i="13"/>
  <c r="G170" i="13"/>
  <c r="K165" i="13"/>
  <c r="K170" i="13" s="1"/>
  <c r="K56" i="13"/>
  <c r="K60" i="13" s="1"/>
  <c r="G60" i="13"/>
  <c r="L56" i="13"/>
  <c r="L60" i="13" s="1"/>
  <c r="E238" i="13"/>
  <c r="E240" i="13" s="1"/>
  <c r="K123" i="13"/>
  <c r="R44" i="13"/>
  <c r="S44" i="13" s="1"/>
  <c r="L58" i="13"/>
  <c r="R58" i="13" s="1"/>
  <c r="S58" i="13" s="1"/>
  <c r="L197" i="13"/>
  <c r="R217" i="13"/>
  <c r="G145" i="13"/>
  <c r="L118" i="13"/>
  <c r="K152" i="13"/>
  <c r="K156" i="13" s="1"/>
  <c r="K128" i="13"/>
  <c r="K139" i="13" s="1"/>
  <c r="G139" i="13"/>
  <c r="P198" i="13"/>
  <c r="P200" i="13" s="1"/>
  <c r="I198" i="13"/>
  <c r="L129" i="13"/>
  <c r="R129" i="13" s="1"/>
  <c r="K126" i="13"/>
  <c r="L226" i="13"/>
  <c r="L104" i="13"/>
  <c r="R104" i="13" s="1"/>
  <c r="G54" i="13"/>
  <c r="P78" i="13"/>
  <c r="P81" i="13" s="1"/>
  <c r="P232" i="13" s="1"/>
  <c r="I78" i="13"/>
  <c r="F81" i="13"/>
  <c r="F232" i="13" s="1"/>
  <c r="G63" i="13"/>
  <c r="H27" i="13"/>
  <c r="H232" i="13" s="1"/>
  <c r="R72" i="13"/>
  <c r="S72" i="13" s="1"/>
  <c r="R231" i="12"/>
  <c r="S231" i="12" s="1"/>
  <c r="R227" i="12"/>
  <c r="S227" i="12" s="1"/>
  <c r="R218" i="12"/>
  <c r="S218" i="12" s="1"/>
  <c r="S221" i="12" s="1"/>
  <c r="L193" i="12"/>
  <c r="L196" i="12" s="1"/>
  <c r="K185" i="12"/>
  <c r="L183" i="12"/>
  <c r="R183" i="12" s="1"/>
  <c r="S183" i="12" s="1"/>
  <c r="G182" i="12"/>
  <c r="L164" i="12"/>
  <c r="G157" i="12"/>
  <c r="G153" i="12"/>
  <c r="G151" i="12"/>
  <c r="G146" i="12"/>
  <c r="R135" i="12"/>
  <c r="S135" i="12" s="1"/>
  <c r="L130" i="12"/>
  <c r="R130" i="12" s="1"/>
  <c r="S130" i="12" s="1"/>
  <c r="F127" i="12"/>
  <c r="L106" i="12"/>
  <c r="R106" i="12" s="1"/>
  <c r="S106" i="12" s="1"/>
  <c r="L105" i="12"/>
  <c r="R105" i="12" s="1"/>
  <c r="S105" i="12" s="1"/>
  <c r="R91" i="12"/>
  <c r="S91" i="12" s="1"/>
  <c r="R87" i="12"/>
  <c r="S87" i="12" s="1"/>
  <c r="R85" i="12"/>
  <c r="S85" i="12" s="1"/>
  <c r="R84" i="12"/>
  <c r="S84" i="12" s="1"/>
  <c r="F233" i="12"/>
  <c r="R74" i="12"/>
  <c r="S74" i="12" s="1"/>
  <c r="R72" i="12"/>
  <c r="S72" i="12" s="1"/>
  <c r="R70" i="12"/>
  <c r="S70" i="12" s="1"/>
  <c r="S41" i="12"/>
  <c r="S40" i="12"/>
  <c r="R25" i="12"/>
  <c r="S25" i="12" s="1"/>
  <c r="H27" i="12"/>
  <c r="H233" i="12" s="1"/>
  <c r="R20" i="12"/>
  <c r="S20" i="12" s="1"/>
  <c r="E239" i="12"/>
  <c r="E241" i="12" s="1"/>
  <c r="K124" i="12"/>
  <c r="G127" i="12"/>
  <c r="L124" i="12"/>
  <c r="I126" i="12"/>
  <c r="R126" i="12" s="1"/>
  <c r="S126" i="12" s="1"/>
  <c r="R27" i="12"/>
  <c r="S27" i="12" s="1"/>
  <c r="I125" i="12"/>
  <c r="K125" i="12"/>
  <c r="L125" i="12" s="1"/>
  <c r="K232" i="12"/>
  <c r="K166" i="12"/>
  <c r="K171" i="12" s="1"/>
  <c r="G171" i="12"/>
  <c r="L144" i="12"/>
  <c r="R142" i="12"/>
  <c r="S142" i="12" s="1"/>
  <c r="I76" i="12"/>
  <c r="I81" i="12" s="1"/>
  <c r="K76" i="12"/>
  <c r="L76" i="12" s="1"/>
  <c r="R76" i="12" s="1"/>
  <c r="S76" i="12" s="1"/>
  <c r="L182" i="12"/>
  <c r="L185" i="12" s="1"/>
  <c r="R35" i="12"/>
  <c r="S35" i="12" s="1"/>
  <c r="G81" i="12"/>
  <c r="E233" i="12"/>
  <c r="K115" i="12"/>
  <c r="L115" i="12" s="1"/>
  <c r="I115" i="12"/>
  <c r="L57" i="12"/>
  <c r="R57" i="12" s="1"/>
  <c r="S57" i="12" s="1"/>
  <c r="L230" i="12"/>
  <c r="L232" i="12" s="1"/>
  <c r="R212" i="12"/>
  <c r="S212" i="12" s="1"/>
  <c r="R203" i="12"/>
  <c r="S203" i="12" s="1"/>
  <c r="R178" i="12"/>
  <c r="S178" i="12" s="1"/>
  <c r="I206" i="12"/>
  <c r="R204" i="12"/>
  <c r="S204" i="12" s="1"/>
  <c r="R123" i="12"/>
  <c r="S123" i="12" s="1"/>
  <c r="R110" i="12"/>
  <c r="S110" i="12" s="1"/>
  <c r="R161" i="12"/>
  <c r="S161" i="12" s="1"/>
  <c r="K153" i="12"/>
  <c r="K157" i="12" s="1"/>
  <c r="R66" i="12"/>
  <c r="S66" i="12" s="1"/>
  <c r="K173" i="12"/>
  <c r="K180" i="12" s="1"/>
  <c r="L154" i="12"/>
  <c r="R154" i="12" s="1"/>
  <c r="S154" i="12" s="1"/>
  <c r="G117" i="12"/>
  <c r="L107" i="12"/>
  <c r="R107" i="12" s="1"/>
  <c r="S107" i="12" s="1"/>
  <c r="L100" i="12"/>
  <c r="R100" i="12" s="1"/>
  <c r="S100" i="12" s="1"/>
  <c r="L176" i="12"/>
  <c r="R176" i="12" s="1"/>
  <c r="S176" i="12" s="1"/>
  <c r="L136" i="12"/>
  <c r="R136" i="12" s="1"/>
  <c r="S136" i="12" s="1"/>
  <c r="K133" i="12"/>
  <c r="L133" i="12" s="1"/>
  <c r="R133" i="12" s="1"/>
  <c r="S133" i="12" s="1"/>
  <c r="R98" i="12"/>
  <c r="S98" i="12" s="1"/>
  <c r="L93" i="12"/>
  <c r="R93" i="12" s="1"/>
  <c r="S93" i="12" s="1"/>
  <c r="R78" i="12"/>
  <c r="S78" i="12" s="1"/>
  <c r="R63" i="12"/>
  <c r="S63" i="12" s="1"/>
  <c r="K48" i="12"/>
  <c r="K54" i="12" s="1"/>
  <c r="G54" i="12"/>
  <c r="G140" i="12"/>
  <c r="K129" i="12"/>
  <c r="K140" i="12" s="1"/>
  <c r="R228" i="12"/>
  <c r="S228" i="12"/>
  <c r="R221" i="12"/>
  <c r="R193" i="12"/>
  <c r="S193" i="12" s="1"/>
  <c r="K108" i="12"/>
  <c r="L108" i="12" s="1"/>
  <c r="R108" i="12" s="1"/>
  <c r="S108" i="12" s="1"/>
  <c r="K90" i="12"/>
  <c r="L90" i="12" s="1"/>
  <c r="I151" i="12"/>
  <c r="R148" i="12"/>
  <c r="S148" i="12" s="1"/>
  <c r="G111" i="12"/>
  <c r="K83" i="12"/>
  <c r="K111" i="12" s="1"/>
  <c r="R209" i="12"/>
  <c r="S209" i="12" s="1"/>
  <c r="L92" i="12"/>
  <c r="R92" i="12" s="1"/>
  <c r="S92" i="12" s="1"/>
  <c r="K56" i="12"/>
  <c r="K60" i="12" s="1"/>
  <c r="G60" i="12"/>
  <c r="R159" i="12"/>
  <c r="S159" i="12" s="1"/>
  <c r="I116" i="12"/>
  <c r="R116" i="12" s="1"/>
  <c r="S116" i="12" s="1"/>
  <c r="L68" i="12"/>
  <c r="R68" i="12" s="1"/>
  <c r="S68" i="12" s="1"/>
  <c r="K68" i="12"/>
  <c r="P38" i="12"/>
  <c r="K146" i="12"/>
  <c r="K151" i="12" s="1"/>
  <c r="I201" i="12"/>
  <c r="R199" i="12"/>
  <c r="S199" i="12" s="1"/>
  <c r="R169" i="12"/>
  <c r="S169" i="12" s="1"/>
  <c r="R139" i="12"/>
  <c r="S139" i="12" s="1"/>
  <c r="L119" i="12"/>
  <c r="R224" i="12"/>
  <c r="S224" i="12" s="1"/>
  <c r="L198" i="12"/>
  <c r="R191" i="12"/>
  <c r="S191" i="12"/>
  <c r="R88" i="12"/>
  <c r="S88" i="12" s="1"/>
  <c r="R73" i="12"/>
  <c r="S73" i="12" s="1"/>
  <c r="K164" i="12"/>
  <c r="K113" i="12"/>
  <c r="I113" i="12"/>
  <c r="L113" i="12"/>
  <c r="P46" i="12"/>
  <c r="G46" i="12"/>
  <c r="J44" i="12"/>
  <c r="J46" i="12" s="1"/>
  <c r="J233" i="12" s="1"/>
  <c r="R44" i="12"/>
  <c r="S44" i="12" s="1"/>
  <c r="E239" i="10"/>
  <c r="E241" i="10" s="1"/>
  <c r="R136" i="10"/>
  <c r="R182" i="10"/>
  <c r="K27" i="10"/>
  <c r="R17" i="10"/>
  <c r="S17" i="10" s="1"/>
  <c r="S228" i="10"/>
  <c r="R228" i="10"/>
  <c r="K215" i="10"/>
  <c r="L212" i="10"/>
  <c r="R154" i="10"/>
  <c r="L146" i="10"/>
  <c r="L151" i="10" s="1"/>
  <c r="K146" i="10"/>
  <c r="K151" i="10" s="1"/>
  <c r="R125" i="10"/>
  <c r="S125" i="10" s="1"/>
  <c r="I125" i="10"/>
  <c r="L125" i="10"/>
  <c r="K125" i="10"/>
  <c r="I206" i="10"/>
  <c r="R204" i="10"/>
  <c r="L130" i="10"/>
  <c r="R130" i="10" s="1"/>
  <c r="R203" i="10"/>
  <c r="R92" i="10"/>
  <c r="R87" i="10"/>
  <c r="K111" i="10"/>
  <c r="I78" i="10"/>
  <c r="P78" i="10"/>
  <c r="P81" i="10" s="1"/>
  <c r="P40" i="10"/>
  <c r="P41" i="10" s="1"/>
  <c r="R41" i="10" s="1"/>
  <c r="K117" i="10"/>
  <c r="G27" i="10"/>
  <c r="L107" i="10"/>
  <c r="R107" i="10" s="1"/>
  <c r="R103" i="10"/>
  <c r="L86" i="10"/>
  <c r="R86" i="10" s="1"/>
  <c r="R45" i="10"/>
  <c r="K180" i="10"/>
  <c r="L173" i="10"/>
  <c r="L180" i="10" s="1"/>
  <c r="I201" i="10"/>
  <c r="R199" i="10"/>
  <c r="R191" i="10"/>
  <c r="S191" i="10"/>
  <c r="R196" i="10"/>
  <c r="S196" i="10"/>
  <c r="K166" i="10"/>
  <c r="K171" i="10" s="1"/>
  <c r="G171" i="10"/>
  <c r="L166" i="10"/>
  <c r="L171" i="10" s="1"/>
  <c r="K157" i="10"/>
  <c r="G140" i="10"/>
  <c r="K129" i="10"/>
  <c r="K140" i="10" s="1"/>
  <c r="K123" i="10"/>
  <c r="K127" i="10" s="1"/>
  <c r="G127" i="10"/>
  <c r="R99" i="10"/>
  <c r="L153" i="10"/>
  <c r="L157" i="10" s="1"/>
  <c r="R225" i="10"/>
  <c r="S225" i="10"/>
  <c r="P151" i="10"/>
  <c r="R52" i="10"/>
  <c r="I140" i="10"/>
  <c r="I111" i="10"/>
  <c r="R105" i="10"/>
  <c r="K64" i="10"/>
  <c r="K81" i="10" s="1"/>
  <c r="S38" i="10"/>
  <c r="R38" i="10"/>
  <c r="G164" i="10"/>
  <c r="I126" i="10"/>
  <c r="R126" i="10" s="1"/>
  <c r="I119" i="10"/>
  <c r="I121" i="10" s="1"/>
  <c r="G121" i="10"/>
  <c r="K119" i="10"/>
  <c r="R173" i="10"/>
  <c r="F164" i="10"/>
  <c r="F233" i="10" s="1"/>
  <c r="G159" i="10"/>
  <c r="R177" i="10"/>
  <c r="L230" i="10"/>
  <c r="R147" i="10"/>
  <c r="P144" i="10"/>
  <c r="R143" i="10"/>
  <c r="L120" i="10"/>
  <c r="R120" i="10" s="1"/>
  <c r="I120" i="10"/>
  <c r="K120" i="10"/>
  <c r="R218" i="10"/>
  <c r="R198" i="10"/>
  <c r="R95" i="10"/>
  <c r="R54" i="10"/>
  <c r="L218" i="10"/>
  <c r="L221" i="10" s="1"/>
  <c r="R90" i="10"/>
  <c r="R83" i="10"/>
  <c r="R73" i="10"/>
  <c r="L113" i="10"/>
  <c r="L117" i="10" s="1"/>
  <c r="L56" i="10"/>
  <c r="H27" i="10"/>
  <c r="H233" i="10" s="1"/>
  <c r="E233" i="10"/>
  <c r="L136" i="10"/>
  <c r="R101" i="10"/>
  <c r="L89" i="10"/>
  <c r="R89" i="10" s="1"/>
  <c r="L84" i="10"/>
  <c r="L111" i="10" s="1"/>
  <c r="G81" i="10"/>
  <c r="S87" i="9"/>
  <c r="I116" i="9"/>
  <c r="R116" i="9"/>
  <c r="R57" i="9"/>
  <c r="R126" i="9"/>
  <c r="I126" i="9"/>
  <c r="K108" i="9"/>
  <c r="R108" i="9" s="1"/>
  <c r="L108" i="9"/>
  <c r="K151" i="9"/>
  <c r="L146" i="9"/>
  <c r="L151" i="9" s="1"/>
  <c r="K120" i="9"/>
  <c r="I120" i="9"/>
  <c r="L120" i="9" s="1"/>
  <c r="R120" i="9" s="1"/>
  <c r="R44" i="9"/>
  <c r="K83" i="9"/>
  <c r="S210" i="9"/>
  <c r="R210" i="9"/>
  <c r="R177" i="9"/>
  <c r="R189" i="9"/>
  <c r="L180" i="9"/>
  <c r="F157" i="9"/>
  <c r="G153" i="9"/>
  <c r="L136" i="9"/>
  <c r="R136" i="9" s="1"/>
  <c r="K115" i="9"/>
  <c r="I115" i="9"/>
  <c r="L115" i="9" s="1"/>
  <c r="R115" i="9" s="1"/>
  <c r="P78" i="9"/>
  <c r="P81" i="9" s="1"/>
  <c r="I78" i="9"/>
  <c r="K140" i="9"/>
  <c r="I111" i="9"/>
  <c r="R105" i="9"/>
  <c r="L161" i="9"/>
  <c r="R161" i="9" s="1"/>
  <c r="S46" i="9"/>
  <c r="R201" i="9"/>
  <c r="G92" i="9"/>
  <c r="G111" i="9" s="1"/>
  <c r="L57" i="9"/>
  <c r="L60" i="9" s="1"/>
  <c r="K60" i="9"/>
  <c r="R22" i="9"/>
  <c r="P38" i="9"/>
  <c r="R56" i="9"/>
  <c r="S60" i="9" s="1"/>
  <c r="L125" i="9"/>
  <c r="R125" i="9" s="1"/>
  <c r="S27" i="9"/>
  <c r="R228" i="9"/>
  <c r="S228" i="9"/>
  <c r="F127" i="9"/>
  <c r="F233" i="9" s="1"/>
  <c r="L68" i="9"/>
  <c r="R68" i="9" s="1"/>
  <c r="S196" i="9"/>
  <c r="R196" i="9"/>
  <c r="K171" i="9"/>
  <c r="I232" i="9"/>
  <c r="R231" i="9"/>
  <c r="R129" i="9"/>
  <c r="K124" i="9"/>
  <c r="L124" i="9" s="1"/>
  <c r="R124" i="9" s="1"/>
  <c r="I117" i="9"/>
  <c r="R113" i="9"/>
  <c r="L94" i="9"/>
  <c r="R94" i="9" s="1"/>
  <c r="P40" i="9"/>
  <c r="P41" i="9" s="1"/>
  <c r="R41" i="9" s="1"/>
  <c r="R40" i="9"/>
  <c r="S41" i="9" s="1"/>
  <c r="S201" i="9"/>
  <c r="R142" i="9"/>
  <c r="G123" i="9"/>
  <c r="K76" i="9"/>
  <c r="R76" i="9"/>
  <c r="I76" i="9"/>
  <c r="I81" i="9" s="1"/>
  <c r="L76" i="9"/>
  <c r="K64" i="9"/>
  <c r="K81" i="9" s="1"/>
  <c r="R29" i="9"/>
  <c r="I127" i="9"/>
  <c r="R27" i="9"/>
  <c r="I221" i="9"/>
  <c r="L218" i="9"/>
  <c r="L221" i="9" s="1"/>
  <c r="L159" i="9"/>
  <c r="L164" i="9" s="1"/>
  <c r="K159" i="9"/>
  <c r="K164" i="9" s="1"/>
  <c r="S206" i="9"/>
  <c r="R206" i="9"/>
  <c r="K117" i="9"/>
  <c r="F117" i="9"/>
  <c r="G117" i="9" s="1"/>
  <c r="R168" i="9"/>
  <c r="R173" i="9"/>
  <c r="G157" i="9"/>
  <c r="P221" i="9"/>
  <c r="R224" i="9"/>
  <c r="R230" i="9"/>
  <c r="S215" i="9"/>
  <c r="R215" i="9"/>
  <c r="L167" i="9"/>
  <c r="R167" i="9" s="1"/>
  <c r="R183" i="9"/>
  <c r="R166" i="9"/>
  <c r="R147" i="9"/>
  <c r="R135" i="9"/>
  <c r="G121" i="9"/>
  <c r="K119" i="9"/>
  <c r="K121" i="9" s="1"/>
  <c r="I119" i="9"/>
  <c r="I121" i="9" s="1"/>
  <c r="L182" i="9"/>
  <c r="L185" i="9" s="1"/>
  <c r="R146" i="9"/>
  <c r="R98" i="9"/>
  <c r="L113" i="9"/>
  <c r="R90" i="9"/>
  <c r="R54" i="9"/>
  <c r="E233" i="9"/>
  <c r="P151" i="9"/>
  <c r="R69" i="9"/>
  <c r="L86" i="9"/>
  <c r="R86" i="9" s="1"/>
  <c r="L77" i="9"/>
  <c r="R77" i="9" s="1"/>
  <c r="R184" i="9"/>
  <c r="L54" i="9"/>
  <c r="J233" i="9"/>
  <c r="R238" i="9"/>
  <c r="I116" i="8"/>
  <c r="R116" i="8" s="1"/>
  <c r="R224" i="8"/>
  <c r="S215" i="8"/>
  <c r="R215" i="8"/>
  <c r="R194" i="8"/>
  <c r="R162" i="8"/>
  <c r="K146" i="8"/>
  <c r="K151" i="8" s="1"/>
  <c r="R227" i="8"/>
  <c r="R198" i="8"/>
  <c r="K180" i="8"/>
  <c r="L221" i="8"/>
  <c r="G127" i="8"/>
  <c r="K123" i="8"/>
  <c r="R102" i="8"/>
  <c r="K113" i="8"/>
  <c r="I113" i="8"/>
  <c r="R113" i="8"/>
  <c r="L113" i="8"/>
  <c r="K124" i="8"/>
  <c r="L124" i="8"/>
  <c r="R124" i="8" s="1"/>
  <c r="R64" i="8"/>
  <c r="G90" i="8"/>
  <c r="R29" i="8"/>
  <c r="P29" i="8"/>
  <c r="P38" i="8" s="1"/>
  <c r="R108" i="8"/>
  <c r="R70" i="8"/>
  <c r="K60" i="8"/>
  <c r="I201" i="8"/>
  <c r="R199" i="8"/>
  <c r="L193" i="8"/>
  <c r="L196" i="8" s="1"/>
  <c r="L161" i="8"/>
  <c r="R161" i="8" s="1"/>
  <c r="S144" i="8"/>
  <c r="R144" i="8"/>
  <c r="R209" i="8"/>
  <c r="R177" i="8"/>
  <c r="L173" i="8"/>
  <c r="L180" i="8" s="1"/>
  <c r="I126" i="8"/>
  <c r="R126" i="8" s="1"/>
  <c r="K119" i="8"/>
  <c r="K121" i="8" s="1"/>
  <c r="G121" i="8"/>
  <c r="I119" i="8"/>
  <c r="I121" i="8" s="1"/>
  <c r="R106" i="8"/>
  <c r="I78" i="8"/>
  <c r="R78" i="8" s="1"/>
  <c r="P78" i="8"/>
  <c r="P81" i="8" s="1"/>
  <c r="L115" i="8"/>
  <c r="K115" i="8"/>
  <c r="I115" i="8"/>
  <c r="R115" i="8" s="1"/>
  <c r="I206" i="8"/>
  <c r="R204" i="8"/>
  <c r="L182" i="8"/>
  <c r="L185" i="8" s="1"/>
  <c r="K164" i="8"/>
  <c r="R219" i="8"/>
  <c r="K140" i="8"/>
  <c r="G111" i="8"/>
  <c r="K83" i="8"/>
  <c r="K125" i="8"/>
  <c r="I125" i="8"/>
  <c r="I127" i="8" s="1"/>
  <c r="F117" i="8"/>
  <c r="G117" i="8" s="1"/>
  <c r="L72" i="8"/>
  <c r="L81" i="8" s="1"/>
  <c r="H27" i="8"/>
  <c r="H233" i="8" s="1"/>
  <c r="R56" i="8"/>
  <c r="L58" i="8"/>
  <c r="R58" i="8" s="1"/>
  <c r="R25" i="8"/>
  <c r="R191" i="8"/>
  <c r="S191" i="8"/>
  <c r="P171" i="8"/>
  <c r="R203" i="8"/>
  <c r="L230" i="8"/>
  <c r="L232" i="8" s="1"/>
  <c r="R193" i="8"/>
  <c r="R178" i="8"/>
  <c r="L153" i="8"/>
  <c r="L157" i="8" s="1"/>
  <c r="R231" i="8"/>
  <c r="L166" i="8"/>
  <c r="L159" i="8"/>
  <c r="L164" i="8" s="1"/>
  <c r="L129" i="8"/>
  <c r="L140" i="8" s="1"/>
  <c r="R173" i="8"/>
  <c r="R156" i="8"/>
  <c r="R136" i="8"/>
  <c r="L76" i="8"/>
  <c r="R76" i="8" s="1"/>
  <c r="K76" i="8"/>
  <c r="K81" i="8" s="1"/>
  <c r="I76" i="8"/>
  <c r="I81" i="8" s="1"/>
  <c r="R149" i="8"/>
  <c r="L104" i="8"/>
  <c r="R104" i="8" s="1"/>
  <c r="K88" i="8"/>
  <c r="R88" i="8" s="1"/>
  <c r="L88" i="8"/>
  <c r="G81" i="8"/>
  <c r="G46" i="8"/>
  <c r="G233" i="8" s="1"/>
  <c r="J44" i="8"/>
  <c r="J46" i="8" s="1"/>
  <c r="J233" i="8" s="1"/>
  <c r="R44" i="8"/>
  <c r="P44" i="8"/>
  <c r="P46" i="8" s="1"/>
  <c r="R48" i="8"/>
  <c r="R59" i="8"/>
  <c r="E233" i="8"/>
  <c r="R17" i="8"/>
  <c r="R27" i="8" s="1"/>
  <c r="R238" i="8"/>
  <c r="R160" i="7"/>
  <c r="I126" i="7"/>
  <c r="R126" i="7" s="1"/>
  <c r="K108" i="7"/>
  <c r="R108" i="7" s="1"/>
  <c r="L108" i="7"/>
  <c r="K113" i="7"/>
  <c r="K117" i="7" s="1"/>
  <c r="I113" i="7"/>
  <c r="I117" i="7" s="1"/>
  <c r="I201" i="7"/>
  <c r="R199" i="7"/>
  <c r="R227" i="7"/>
  <c r="L166" i="7"/>
  <c r="L171" i="7" s="1"/>
  <c r="K166" i="7"/>
  <c r="K171" i="7" s="1"/>
  <c r="R166" i="7"/>
  <c r="G171" i="7"/>
  <c r="K153" i="7"/>
  <c r="K157" i="7" s="1"/>
  <c r="L153" i="7"/>
  <c r="L157" i="7" s="1"/>
  <c r="G146" i="7"/>
  <c r="G123" i="7"/>
  <c r="R148" i="7"/>
  <c r="K124" i="7"/>
  <c r="L124" i="7" s="1"/>
  <c r="L142" i="7"/>
  <c r="L144" i="7" s="1"/>
  <c r="G90" i="7"/>
  <c r="L63" i="7"/>
  <c r="L102" i="7"/>
  <c r="R102" i="7" s="1"/>
  <c r="L88" i="7"/>
  <c r="R88" i="7" s="1"/>
  <c r="K88" i="7"/>
  <c r="E233" i="7"/>
  <c r="R212" i="7"/>
  <c r="E239" i="7"/>
  <c r="E241" i="7" s="1"/>
  <c r="J35" i="7"/>
  <c r="J38" i="7" s="1"/>
  <c r="J233" i="7" s="1"/>
  <c r="R59" i="7"/>
  <c r="R218" i="7"/>
  <c r="R191" i="7"/>
  <c r="S191" i="7"/>
  <c r="K130" i="7"/>
  <c r="K140" i="7" s="1"/>
  <c r="G140" i="7"/>
  <c r="L182" i="7"/>
  <c r="L185" i="7" s="1"/>
  <c r="R182" i="7"/>
  <c r="L230" i="7"/>
  <c r="R213" i="7"/>
  <c r="L193" i="7"/>
  <c r="L196" i="7" s="1"/>
  <c r="L174" i="7"/>
  <c r="R174" i="7" s="1"/>
  <c r="I140" i="7"/>
  <c r="R136" i="7"/>
  <c r="G151" i="7"/>
  <c r="K173" i="7"/>
  <c r="K180" i="7" s="1"/>
  <c r="I120" i="7"/>
  <c r="L120" i="7" s="1"/>
  <c r="R120" i="7" s="1"/>
  <c r="K120" i="7"/>
  <c r="R209" i="7"/>
  <c r="K164" i="7"/>
  <c r="L106" i="7"/>
  <c r="R106" i="7" s="1"/>
  <c r="L114" i="7"/>
  <c r="R114" i="7" s="1"/>
  <c r="N233" i="7"/>
  <c r="H27" i="7"/>
  <c r="H233" i="7" s="1"/>
  <c r="L160" i="7"/>
  <c r="L92" i="7"/>
  <c r="R92" i="7" s="1"/>
  <c r="L72" i="7"/>
  <c r="R72" i="7" s="1"/>
  <c r="R57" i="7"/>
  <c r="R45" i="7"/>
  <c r="L70" i="7"/>
  <c r="R70" i="7" s="1"/>
  <c r="K60" i="7"/>
  <c r="R176" i="7"/>
  <c r="G121" i="7"/>
  <c r="K119" i="7"/>
  <c r="K121" i="7" s="1"/>
  <c r="I119" i="7"/>
  <c r="I121" i="7" s="1"/>
  <c r="L83" i="7"/>
  <c r="R17" i="7"/>
  <c r="K27" i="7"/>
  <c r="R54" i="7"/>
  <c r="R193" i="7"/>
  <c r="R169" i="7"/>
  <c r="I206" i="7"/>
  <c r="R204" i="7"/>
  <c r="R198" i="7"/>
  <c r="L161" i="7"/>
  <c r="R161" i="7" s="1"/>
  <c r="R134" i="7"/>
  <c r="R224" i="7"/>
  <c r="R129" i="7"/>
  <c r="L159" i="7"/>
  <c r="R142" i="7"/>
  <c r="R125" i="7"/>
  <c r="L93" i="7"/>
  <c r="R93" i="7" s="1"/>
  <c r="I76" i="7"/>
  <c r="I81" i="7" s="1"/>
  <c r="K76" i="7"/>
  <c r="K81" i="7" s="1"/>
  <c r="P29" i="7"/>
  <c r="P38" i="7" s="1"/>
  <c r="P233" i="7" s="1"/>
  <c r="R29" i="7"/>
  <c r="R44" i="7"/>
  <c r="R40" i="7"/>
  <c r="S41" i="7" s="1"/>
  <c r="L56" i="7"/>
  <c r="K120" i="6"/>
  <c r="I120" i="6"/>
  <c r="L120" i="6" s="1"/>
  <c r="R120" i="6" s="1"/>
  <c r="S120" i="6" s="1"/>
  <c r="R221" i="6"/>
  <c r="S218" i="6"/>
  <c r="S221" i="6" s="1"/>
  <c r="R58" i="6"/>
  <c r="S58" i="6" s="1"/>
  <c r="I126" i="6"/>
  <c r="R126" i="6"/>
  <c r="S18" i="6"/>
  <c r="R232" i="6"/>
  <c r="S230" i="6"/>
  <c r="S232" i="6" s="1"/>
  <c r="P110" i="6"/>
  <c r="P111" i="6" s="1"/>
  <c r="I110" i="6"/>
  <c r="I111" i="6" s="1"/>
  <c r="G117" i="6"/>
  <c r="R176" i="6"/>
  <c r="S176" i="6" s="1"/>
  <c r="S224" i="6"/>
  <c r="S225" i="6" s="1"/>
  <c r="R225" i="6"/>
  <c r="K166" i="6"/>
  <c r="K171" i="6" s="1"/>
  <c r="G171" i="6"/>
  <c r="K56" i="6"/>
  <c r="K60" i="6" s="1"/>
  <c r="G60" i="6"/>
  <c r="L56" i="6"/>
  <c r="L60" i="6" s="1"/>
  <c r="K173" i="6"/>
  <c r="K180" i="6" s="1"/>
  <c r="K90" i="6"/>
  <c r="L90" i="6" s="1"/>
  <c r="S203" i="6"/>
  <c r="S206" i="6" s="1"/>
  <c r="R206" i="6"/>
  <c r="L72" i="6"/>
  <c r="R72" i="6" s="1"/>
  <c r="S72" i="6" s="1"/>
  <c r="I115" i="6"/>
  <c r="K115" i="6"/>
  <c r="K160" i="6"/>
  <c r="R193" i="6"/>
  <c r="K146" i="6"/>
  <c r="K151" i="6" s="1"/>
  <c r="L146" i="6"/>
  <c r="L151" i="6" s="1"/>
  <c r="R17" i="6"/>
  <c r="K27" i="6"/>
  <c r="S43" i="6"/>
  <c r="I140" i="6"/>
  <c r="K159" i="6"/>
  <c r="L58" i="6"/>
  <c r="L91" i="6"/>
  <c r="R91" i="6" s="1"/>
  <c r="S91" i="6" s="1"/>
  <c r="L221" i="6"/>
  <c r="K111" i="6"/>
  <c r="L83" i="6"/>
  <c r="L198" i="6"/>
  <c r="P221" i="6"/>
  <c r="R220" i="6"/>
  <c r="S220" i="6" s="1"/>
  <c r="L104" i="6"/>
  <c r="R104" i="6" s="1"/>
  <c r="S104" i="6" s="1"/>
  <c r="P151" i="6"/>
  <c r="S142" i="6"/>
  <c r="S144" i="6" s="1"/>
  <c r="R144" i="6"/>
  <c r="R114" i="6"/>
  <c r="S114" i="6" s="1"/>
  <c r="R66" i="6"/>
  <c r="S66" i="6" s="1"/>
  <c r="E233" i="6"/>
  <c r="K54" i="6"/>
  <c r="P38" i="6"/>
  <c r="G182" i="6"/>
  <c r="S129" i="6"/>
  <c r="G111" i="6"/>
  <c r="J46" i="6"/>
  <c r="J233" i="6" s="1"/>
  <c r="R44" i="6"/>
  <c r="S44" i="6" s="1"/>
  <c r="R148" i="6"/>
  <c r="S148" i="6" s="1"/>
  <c r="L101" i="6"/>
  <c r="R101" i="6" s="1"/>
  <c r="S101" i="6" s="1"/>
  <c r="R98" i="6"/>
  <c r="S98" i="6" s="1"/>
  <c r="L136" i="6"/>
  <c r="R136" i="6" s="1"/>
  <c r="S136" i="6" s="1"/>
  <c r="R209" i="6"/>
  <c r="P144" i="6"/>
  <c r="R143" i="6"/>
  <c r="S143" i="6" s="1"/>
  <c r="L67" i="6"/>
  <c r="R67" i="6" s="1"/>
  <c r="S67" i="6" s="1"/>
  <c r="G121" i="6"/>
  <c r="K119" i="6"/>
  <c r="K121" i="6" s="1"/>
  <c r="I119" i="6"/>
  <c r="I121" i="6" s="1"/>
  <c r="R84" i="6"/>
  <c r="S84" i="6" s="1"/>
  <c r="R191" i="6"/>
  <c r="S189" i="6"/>
  <c r="S191" i="6" s="1"/>
  <c r="K130" i="6"/>
  <c r="K140" i="6" s="1"/>
  <c r="L130" i="6"/>
  <c r="L140" i="6" s="1"/>
  <c r="G185" i="6"/>
  <c r="K125" i="6"/>
  <c r="I125" i="6"/>
  <c r="I127" i="6" s="1"/>
  <c r="L125" i="6"/>
  <c r="R125" i="6" s="1"/>
  <c r="S125" i="6" s="1"/>
  <c r="R29" i="6"/>
  <c r="R194" i="6"/>
  <c r="S194" i="6" s="1"/>
  <c r="I196" i="6"/>
  <c r="I113" i="6"/>
  <c r="I117" i="6" s="1"/>
  <c r="K113" i="6"/>
  <c r="F127" i="6"/>
  <c r="G123" i="6"/>
  <c r="K63" i="6"/>
  <c r="K81" i="6" s="1"/>
  <c r="G81" i="6"/>
  <c r="R184" i="6"/>
  <c r="S184" i="6" s="1"/>
  <c r="R41" i="6"/>
  <c r="R74" i="6"/>
  <c r="S74" i="6" s="1"/>
  <c r="L227" i="6"/>
  <c r="L228" i="6" s="1"/>
  <c r="L48" i="6"/>
  <c r="L76" i="6"/>
  <c r="R76" i="6" s="1"/>
  <c r="S76" i="6" s="1"/>
  <c r="G140" i="6"/>
  <c r="R177" i="6"/>
  <c r="S177" i="6" s="1"/>
  <c r="R162" i="6"/>
  <c r="S162" i="6" s="1"/>
  <c r="F121" i="6"/>
  <c r="G153" i="6"/>
  <c r="R40" i="6"/>
  <c r="S40" i="6" s="1"/>
  <c r="S41" i="6" s="1"/>
  <c r="P40" i="6"/>
  <c r="P41" i="6" s="1"/>
  <c r="R161" i="6"/>
  <c r="S161" i="6" s="1"/>
  <c r="R204" i="6"/>
  <c r="S204" i="6" s="1"/>
  <c r="I206" i="6"/>
  <c r="K64" i="6"/>
  <c r="R227" i="6"/>
  <c r="P171" i="6"/>
  <c r="P45" i="6"/>
  <c r="P46" i="6" s="1"/>
  <c r="I45" i="6"/>
  <c r="I46" i="6" s="1"/>
  <c r="G46" i="6"/>
  <c r="R178" i="6"/>
  <c r="S178" i="6" s="1"/>
  <c r="L212" i="6"/>
  <c r="L74" i="6"/>
  <c r="M164" i="5"/>
  <c r="S223" i="5"/>
  <c r="S217" i="5"/>
  <c r="S208" i="5"/>
  <c r="S188" i="5"/>
  <c r="S80" i="5"/>
  <c r="C111" i="5"/>
  <c r="S30" i="5"/>
  <c r="S29" i="5"/>
  <c r="C238" i="5"/>
  <c r="C38" i="5"/>
  <c r="E32" i="5"/>
  <c r="E31" i="5"/>
  <c r="E29" i="5"/>
  <c r="G29" i="5" s="1"/>
  <c r="P29" i="5" s="1"/>
  <c r="R29" i="5" s="1"/>
  <c r="E30" i="5"/>
  <c r="G30" i="5" s="1"/>
  <c r="P30" i="5" s="1"/>
  <c r="R30" i="5" s="1"/>
  <c r="Q238" i="5"/>
  <c r="Q237" i="5"/>
  <c r="C237" i="5"/>
  <c r="Q236" i="5"/>
  <c r="C236" i="5"/>
  <c r="Q235" i="5"/>
  <c r="F232" i="5"/>
  <c r="E232" i="5"/>
  <c r="C232" i="5"/>
  <c r="G231" i="5"/>
  <c r="P231" i="5" s="1"/>
  <c r="P232" i="5" s="1"/>
  <c r="G230" i="5"/>
  <c r="F228" i="5"/>
  <c r="E228" i="5"/>
  <c r="C228" i="5"/>
  <c r="G227" i="5"/>
  <c r="K227" i="5" s="1"/>
  <c r="F225" i="5"/>
  <c r="E225" i="5"/>
  <c r="C225" i="5"/>
  <c r="G224" i="5"/>
  <c r="I224" i="5" s="1"/>
  <c r="I225" i="5" s="1"/>
  <c r="G223" i="5"/>
  <c r="K223" i="5" s="1"/>
  <c r="F221" i="5"/>
  <c r="C221" i="5"/>
  <c r="E220" i="5"/>
  <c r="G219" i="5"/>
  <c r="I219" i="5" s="1"/>
  <c r="G218" i="5"/>
  <c r="G217" i="5"/>
  <c r="K217" i="5" s="1"/>
  <c r="F215" i="5"/>
  <c r="E215" i="5"/>
  <c r="C215" i="5"/>
  <c r="G214" i="5"/>
  <c r="P214" i="5" s="1"/>
  <c r="R214" i="5" s="1"/>
  <c r="S214" i="5" s="1"/>
  <c r="G213" i="5"/>
  <c r="I213" i="5" s="1"/>
  <c r="I215" i="5" s="1"/>
  <c r="G212" i="5"/>
  <c r="K212" i="5" s="1"/>
  <c r="K215" i="5" s="1"/>
  <c r="F210" i="5"/>
  <c r="E210" i="5"/>
  <c r="C210" i="5"/>
  <c r="G209" i="5"/>
  <c r="I209" i="5" s="1"/>
  <c r="I210" i="5" s="1"/>
  <c r="G208" i="5"/>
  <c r="K208" i="5" s="1"/>
  <c r="F206" i="5"/>
  <c r="E206" i="5"/>
  <c r="C206" i="5"/>
  <c r="G205" i="5"/>
  <c r="P205" i="5" s="1"/>
  <c r="R205" i="5" s="1"/>
  <c r="S205" i="5" s="1"/>
  <c r="G204" i="5"/>
  <c r="I204" i="5" s="1"/>
  <c r="G203" i="5"/>
  <c r="F201" i="5"/>
  <c r="E201" i="5"/>
  <c r="C201" i="5"/>
  <c r="G200" i="5"/>
  <c r="P200" i="5" s="1"/>
  <c r="R200" i="5" s="1"/>
  <c r="S200" i="5" s="1"/>
  <c r="G199" i="5"/>
  <c r="I199" i="5" s="1"/>
  <c r="G198" i="5"/>
  <c r="K198" i="5" s="1"/>
  <c r="K201" i="5" s="1"/>
  <c r="E196" i="5"/>
  <c r="G196" i="5" s="1"/>
  <c r="C196" i="5"/>
  <c r="G195" i="5"/>
  <c r="P195" i="5" s="1"/>
  <c r="R195" i="5" s="1"/>
  <c r="S195" i="5" s="1"/>
  <c r="G194" i="5"/>
  <c r="P194" i="5" s="1"/>
  <c r="G193" i="5"/>
  <c r="K193" i="5" s="1"/>
  <c r="K196" i="5" s="1"/>
  <c r="E191" i="5"/>
  <c r="G191" i="5" s="1"/>
  <c r="C191" i="5"/>
  <c r="G190" i="5"/>
  <c r="P190" i="5" s="1"/>
  <c r="R190" i="5" s="1"/>
  <c r="S190" i="5" s="1"/>
  <c r="G189" i="5"/>
  <c r="G188" i="5"/>
  <c r="K188" i="5" s="1"/>
  <c r="M185" i="5"/>
  <c r="C185" i="5"/>
  <c r="G184" i="5"/>
  <c r="P184" i="5" s="1"/>
  <c r="P185" i="5" s="1"/>
  <c r="G183" i="5"/>
  <c r="E182" i="5"/>
  <c r="E185" i="5" s="1"/>
  <c r="O180" i="5"/>
  <c r="C180" i="5"/>
  <c r="G179" i="5"/>
  <c r="P179" i="5" s="1"/>
  <c r="G178" i="5"/>
  <c r="I178" i="5" s="1"/>
  <c r="E177" i="5"/>
  <c r="G177" i="5" s="1"/>
  <c r="G176" i="5"/>
  <c r="G175" i="5"/>
  <c r="K175" i="5" s="1"/>
  <c r="L175" i="5" s="1"/>
  <c r="R175" i="5" s="1"/>
  <c r="S175" i="5" s="1"/>
  <c r="E174" i="5"/>
  <c r="F173" i="5"/>
  <c r="F180" i="5" s="1"/>
  <c r="O171" i="5"/>
  <c r="C171" i="5"/>
  <c r="G170" i="5"/>
  <c r="P170" i="5" s="1"/>
  <c r="G169" i="5"/>
  <c r="P169" i="5" s="1"/>
  <c r="G168" i="5"/>
  <c r="K168" i="5" s="1"/>
  <c r="G167" i="5"/>
  <c r="E166" i="5"/>
  <c r="O164" i="5"/>
  <c r="C164" i="5"/>
  <c r="G163" i="5"/>
  <c r="G162" i="5"/>
  <c r="E161" i="5"/>
  <c r="G161" i="5" s="1"/>
  <c r="E160" i="5"/>
  <c r="G160" i="5" s="1"/>
  <c r="E159" i="5"/>
  <c r="O157" i="5"/>
  <c r="M157" i="5"/>
  <c r="C157" i="5"/>
  <c r="G156" i="5"/>
  <c r="G155" i="5"/>
  <c r="E154" i="5"/>
  <c r="G154" i="5" s="1"/>
  <c r="E153" i="5"/>
  <c r="C151" i="5"/>
  <c r="G150" i="5"/>
  <c r="E149" i="5"/>
  <c r="G149" i="5" s="1"/>
  <c r="G148" i="5"/>
  <c r="G147" i="5"/>
  <c r="E146" i="5"/>
  <c r="F146" i="5" s="1"/>
  <c r="F151" i="5" s="1"/>
  <c r="C144" i="5"/>
  <c r="N143" i="5"/>
  <c r="E143" i="5"/>
  <c r="G143" i="5" s="1"/>
  <c r="P143" i="5" s="1"/>
  <c r="P144" i="5" s="1"/>
  <c r="N142" i="5"/>
  <c r="E142" i="5"/>
  <c r="G142" i="5" s="1"/>
  <c r="O140" i="5"/>
  <c r="M140" i="5"/>
  <c r="C140" i="5"/>
  <c r="E139" i="5"/>
  <c r="G139" i="5" s="1"/>
  <c r="I139" i="5" s="1"/>
  <c r="G138" i="5"/>
  <c r="G137" i="5"/>
  <c r="K137" i="5" s="1"/>
  <c r="E136" i="5"/>
  <c r="G136" i="5" s="1"/>
  <c r="K136" i="5" s="1"/>
  <c r="G135" i="5"/>
  <c r="K135" i="5" s="1"/>
  <c r="L135" i="5" s="1"/>
  <c r="R135" i="5" s="1"/>
  <c r="S135" i="5" s="1"/>
  <c r="G134" i="5"/>
  <c r="K134" i="5" s="1"/>
  <c r="E133" i="5"/>
  <c r="G133" i="5" s="1"/>
  <c r="F130" i="5"/>
  <c r="G130" i="5" s="1"/>
  <c r="F129" i="5"/>
  <c r="G129" i="5" s="1"/>
  <c r="C127" i="5"/>
  <c r="N126" i="5"/>
  <c r="E126" i="5"/>
  <c r="N125" i="5"/>
  <c r="E125" i="5"/>
  <c r="F125" i="5" s="1"/>
  <c r="G125" i="5" s="1"/>
  <c r="E124" i="5"/>
  <c r="F124" i="5" s="1"/>
  <c r="E123" i="5"/>
  <c r="E120" i="5"/>
  <c r="E119" i="5"/>
  <c r="F119" i="5" s="1"/>
  <c r="C117" i="5"/>
  <c r="E116" i="5"/>
  <c r="F116" i="5" s="1"/>
  <c r="E115" i="5"/>
  <c r="F115" i="5" s="1"/>
  <c r="F114" i="5"/>
  <c r="G114" i="5" s="1"/>
  <c r="K114" i="5" s="1"/>
  <c r="E113" i="5"/>
  <c r="F113" i="5" s="1"/>
  <c r="G113" i="5" s="1"/>
  <c r="E110" i="5"/>
  <c r="G110" i="5" s="1"/>
  <c r="I110" i="5" s="1"/>
  <c r="G109" i="5"/>
  <c r="P109" i="5" s="1"/>
  <c r="R109" i="5" s="1"/>
  <c r="S109" i="5" s="1"/>
  <c r="E108" i="5"/>
  <c r="E107" i="5"/>
  <c r="G107" i="5" s="1"/>
  <c r="E106" i="5"/>
  <c r="G106" i="5" s="1"/>
  <c r="K106" i="5" s="1"/>
  <c r="G105" i="5"/>
  <c r="K105" i="5" s="1"/>
  <c r="F104" i="5"/>
  <c r="G104" i="5" s="1"/>
  <c r="E103" i="5"/>
  <c r="G103" i="5" s="1"/>
  <c r="G102" i="5"/>
  <c r="K102" i="5" s="1"/>
  <c r="E101" i="5"/>
  <c r="G101" i="5" s="1"/>
  <c r="E100" i="5"/>
  <c r="G100" i="5" s="1"/>
  <c r="G99" i="5"/>
  <c r="G98" i="5"/>
  <c r="G96" i="5"/>
  <c r="K96" i="5" s="1"/>
  <c r="G95" i="5"/>
  <c r="K95" i="5" s="1"/>
  <c r="G94" i="5"/>
  <c r="K94" i="5" s="1"/>
  <c r="E93" i="5"/>
  <c r="G93" i="5" s="1"/>
  <c r="F92" i="5"/>
  <c r="G92" i="5" s="1"/>
  <c r="K92" i="5" s="1"/>
  <c r="G91" i="5"/>
  <c r="K91" i="5" s="1"/>
  <c r="E90" i="5"/>
  <c r="F90" i="5" s="1"/>
  <c r="F89" i="5"/>
  <c r="G89" i="5" s="1"/>
  <c r="E88" i="5"/>
  <c r="G88" i="5" s="1"/>
  <c r="K88" i="5" s="1"/>
  <c r="G87" i="5"/>
  <c r="K87" i="5" s="1"/>
  <c r="L87" i="5" s="1"/>
  <c r="G86" i="5"/>
  <c r="K86" i="5" s="1"/>
  <c r="L86" i="5" s="1"/>
  <c r="F85" i="5"/>
  <c r="G85" i="5" s="1"/>
  <c r="G84" i="5"/>
  <c r="F83" i="5"/>
  <c r="C81" i="5"/>
  <c r="G80" i="5"/>
  <c r="P80" i="5" s="1"/>
  <c r="R80" i="5" s="1"/>
  <c r="G79" i="5"/>
  <c r="P79" i="5" s="1"/>
  <c r="N78" i="5"/>
  <c r="E78" i="5"/>
  <c r="G78" i="5" s="1"/>
  <c r="P78" i="5" s="1"/>
  <c r="G77" i="5"/>
  <c r="I77" i="5" s="1"/>
  <c r="N76" i="5"/>
  <c r="E76" i="5"/>
  <c r="F75" i="5"/>
  <c r="G75" i="5" s="1"/>
  <c r="K75" i="5" s="1"/>
  <c r="E74" i="5"/>
  <c r="G74" i="5" s="1"/>
  <c r="K74" i="5" s="1"/>
  <c r="L74" i="5" s="1"/>
  <c r="N73" i="5"/>
  <c r="E73" i="5"/>
  <c r="G73" i="5" s="1"/>
  <c r="E72" i="5"/>
  <c r="G72" i="5" s="1"/>
  <c r="E71" i="5"/>
  <c r="G71" i="5" s="1"/>
  <c r="E70" i="5"/>
  <c r="G70" i="5" s="1"/>
  <c r="E69" i="5"/>
  <c r="G69" i="5" s="1"/>
  <c r="N68" i="5"/>
  <c r="E68" i="5"/>
  <c r="G68" i="5" s="1"/>
  <c r="E67" i="5"/>
  <c r="G67" i="5" s="1"/>
  <c r="G66" i="5"/>
  <c r="K66" i="5" s="1"/>
  <c r="G65" i="5"/>
  <c r="K65" i="5" s="1"/>
  <c r="E64" i="5"/>
  <c r="F63" i="5"/>
  <c r="Q60" i="5"/>
  <c r="Q233" i="5" s="1"/>
  <c r="G59" i="5"/>
  <c r="F58" i="5"/>
  <c r="G58" i="5" s="1"/>
  <c r="F57" i="5"/>
  <c r="G57" i="5" s="1"/>
  <c r="E56" i="5"/>
  <c r="F56" i="5" s="1"/>
  <c r="C54" i="5"/>
  <c r="G53" i="5"/>
  <c r="K53" i="5" s="1"/>
  <c r="G52" i="5"/>
  <c r="O51" i="5"/>
  <c r="O54" i="5" s="1"/>
  <c r="K50" i="5"/>
  <c r="E49" i="5"/>
  <c r="G49" i="5" s="1"/>
  <c r="E48" i="5"/>
  <c r="G48" i="5" s="1"/>
  <c r="K48" i="5" s="1"/>
  <c r="L48" i="5" s="1"/>
  <c r="C46" i="5"/>
  <c r="E45" i="5"/>
  <c r="E44" i="5"/>
  <c r="G44" i="5" s="1"/>
  <c r="P44" i="5" s="1"/>
  <c r="P43" i="5"/>
  <c r="R43" i="5" s="1"/>
  <c r="S43" i="5" s="1"/>
  <c r="C41" i="5"/>
  <c r="E40" i="5"/>
  <c r="E41" i="5" s="1"/>
  <c r="G41" i="5" s="1"/>
  <c r="I38" i="5"/>
  <c r="G37" i="5"/>
  <c r="P37" i="5" s="1"/>
  <c r="R37" i="5" s="1"/>
  <c r="S37" i="5" s="1"/>
  <c r="G36" i="5"/>
  <c r="P36" i="5" s="1"/>
  <c r="R36" i="5" s="1"/>
  <c r="S36" i="5" s="1"/>
  <c r="P35" i="5"/>
  <c r="F35" i="5"/>
  <c r="F38" i="5" s="1"/>
  <c r="E34" i="5"/>
  <c r="G34" i="5" s="1"/>
  <c r="E33" i="5"/>
  <c r="G33" i="5" s="1"/>
  <c r="P33" i="5" s="1"/>
  <c r="G32" i="5"/>
  <c r="P32" i="5" s="1"/>
  <c r="R32" i="5" s="1"/>
  <c r="S32" i="5" s="1"/>
  <c r="G31" i="5"/>
  <c r="P31" i="5" s="1"/>
  <c r="R31" i="5" s="1"/>
  <c r="S31" i="5" s="1"/>
  <c r="C27" i="5"/>
  <c r="E26" i="5"/>
  <c r="G26" i="5" s="1"/>
  <c r="G25" i="5"/>
  <c r="O25" i="5" s="1"/>
  <c r="G24" i="5"/>
  <c r="H24" i="5" s="1"/>
  <c r="E23" i="5"/>
  <c r="G23" i="5" s="1"/>
  <c r="G22" i="5"/>
  <c r="H22" i="5" s="1"/>
  <c r="G21" i="5"/>
  <c r="H21" i="5" s="1"/>
  <c r="G20" i="5"/>
  <c r="H20" i="5" s="1"/>
  <c r="R20" i="5" s="1"/>
  <c r="S20" i="5" s="1"/>
  <c r="O19" i="5"/>
  <c r="E19" i="5"/>
  <c r="G19" i="5" s="1"/>
  <c r="E18" i="5"/>
  <c r="G18" i="5" s="1"/>
  <c r="G17" i="5"/>
  <c r="K17" i="5" s="1"/>
  <c r="E16" i="5"/>
  <c r="R16" i="5" s="1"/>
  <c r="S16" i="5" s="1"/>
  <c r="E15" i="5"/>
  <c r="E238" i="5" s="1"/>
  <c r="O14" i="5"/>
  <c r="M14" i="5"/>
  <c r="M27" i="5" s="1"/>
  <c r="L85" i="16" l="1"/>
  <c r="R181" i="16"/>
  <c r="L57" i="16"/>
  <c r="R190" i="16"/>
  <c r="S190" i="16"/>
  <c r="R120" i="16"/>
  <c r="S120" i="16"/>
  <c r="G232" i="16"/>
  <c r="S184" i="16"/>
  <c r="R184" i="16"/>
  <c r="L55" i="16"/>
  <c r="R54" i="16"/>
  <c r="R165" i="16"/>
  <c r="L170" i="16"/>
  <c r="R55" i="16"/>
  <c r="R220" i="16"/>
  <c r="S220" i="16"/>
  <c r="R202" i="16"/>
  <c r="L205" i="16"/>
  <c r="R192" i="16"/>
  <c r="L195" i="16"/>
  <c r="R159" i="16"/>
  <c r="L163" i="16"/>
  <c r="R227" i="16"/>
  <c r="S227" i="16"/>
  <c r="S143" i="16"/>
  <c r="R143" i="16"/>
  <c r="R231" i="16"/>
  <c r="S231" i="16"/>
  <c r="R236" i="16"/>
  <c r="S236" i="16"/>
  <c r="S27" i="16"/>
  <c r="S214" i="16"/>
  <c r="R214" i="16"/>
  <c r="L120" i="16"/>
  <c r="L113" i="16"/>
  <c r="L112" i="16"/>
  <c r="K116" i="16"/>
  <c r="I116" i="16"/>
  <c r="I232" i="16" s="1"/>
  <c r="L107" i="16"/>
  <c r="L103" i="16"/>
  <c r="L90" i="16"/>
  <c r="L89" i="16"/>
  <c r="R85" i="16"/>
  <c r="L64" i="16"/>
  <c r="L81" i="16" s="1"/>
  <c r="L58" i="16"/>
  <c r="R57" i="16"/>
  <c r="R35" i="16"/>
  <c r="R197" i="16"/>
  <c r="R64" i="16"/>
  <c r="R58" i="16"/>
  <c r="R145" i="16"/>
  <c r="L114" i="16"/>
  <c r="L156" i="16"/>
  <c r="L123" i="16"/>
  <c r="L122" i="16"/>
  <c r="R27" i="16"/>
  <c r="R153" i="16"/>
  <c r="L150" i="16"/>
  <c r="R129" i="16"/>
  <c r="L124" i="16"/>
  <c r="R152" i="16"/>
  <c r="R172" i="16"/>
  <c r="R122" i="16"/>
  <c r="R90" i="16"/>
  <c r="L83" i="16"/>
  <c r="L110" i="16" s="1"/>
  <c r="R75" i="16"/>
  <c r="L59" i="16"/>
  <c r="K232" i="16"/>
  <c r="R114" i="16"/>
  <c r="L184" i="16"/>
  <c r="L179" i="16"/>
  <c r="R175" i="16"/>
  <c r="R128" i="16"/>
  <c r="R190" i="14"/>
  <c r="S190" i="14"/>
  <c r="R236" i="14"/>
  <c r="S236" i="14"/>
  <c r="S54" i="14"/>
  <c r="G232" i="14"/>
  <c r="R229" i="14"/>
  <c r="L231" i="14"/>
  <c r="R226" i="14"/>
  <c r="L227" i="14"/>
  <c r="R211" i="14"/>
  <c r="L214" i="14"/>
  <c r="R197" i="14"/>
  <c r="L200" i="14"/>
  <c r="R182" i="14"/>
  <c r="L184" i="14"/>
  <c r="R156" i="14"/>
  <c r="S156" i="14"/>
  <c r="K170" i="14"/>
  <c r="R165" i="14"/>
  <c r="K163" i="14"/>
  <c r="R158" i="14"/>
  <c r="K150" i="14"/>
  <c r="L145" i="14"/>
  <c r="K139" i="14"/>
  <c r="R128" i="14"/>
  <c r="K126" i="14"/>
  <c r="L122" i="14"/>
  <c r="I120" i="14"/>
  <c r="L118" i="14"/>
  <c r="I116" i="14"/>
  <c r="I232" i="14" s="1"/>
  <c r="L112" i="14"/>
  <c r="L116" i="14" s="1"/>
  <c r="R112" i="14"/>
  <c r="K110" i="14"/>
  <c r="L83" i="14"/>
  <c r="K81" i="14"/>
  <c r="L63" i="14"/>
  <c r="L81" i="14" s="1"/>
  <c r="R63" i="14"/>
  <c r="K60" i="14"/>
  <c r="K232" i="14" s="1"/>
  <c r="L56" i="14"/>
  <c r="J38" i="14"/>
  <c r="J232" i="14" s="1"/>
  <c r="R35" i="14"/>
  <c r="L195" i="14"/>
  <c r="R192" i="14"/>
  <c r="L128" i="13"/>
  <c r="R128" i="13" s="1"/>
  <c r="L152" i="13"/>
  <c r="L123" i="13"/>
  <c r="L126" i="13" s="1"/>
  <c r="R237" i="13"/>
  <c r="S43" i="13"/>
  <c r="L229" i="13"/>
  <c r="L231" i="13" s="1"/>
  <c r="R48" i="13"/>
  <c r="S48" i="13" s="1"/>
  <c r="I116" i="13"/>
  <c r="K172" i="13"/>
  <c r="K179" i="13" s="1"/>
  <c r="L172" i="13"/>
  <c r="R172" i="13" s="1"/>
  <c r="L139" i="13"/>
  <c r="S220" i="13"/>
  <c r="R220" i="13"/>
  <c r="L179" i="13"/>
  <c r="R124" i="13"/>
  <c r="L214" i="13"/>
  <c r="R211" i="13"/>
  <c r="I81" i="13"/>
  <c r="R78" i="13"/>
  <c r="S78" i="13" s="1"/>
  <c r="I200" i="13"/>
  <c r="R198" i="13"/>
  <c r="L156" i="13"/>
  <c r="L200" i="13"/>
  <c r="R197" i="13"/>
  <c r="I125" i="13"/>
  <c r="R125" i="13" s="1"/>
  <c r="G126" i="13"/>
  <c r="I190" i="13"/>
  <c r="R188" i="13"/>
  <c r="L227" i="13"/>
  <c r="R226" i="13"/>
  <c r="L120" i="13"/>
  <c r="R118" i="13"/>
  <c r="R60" i="13"/>
  <c r="L165" i="13"/>
  <c r="R229" i="13"/>
  <c r="R54" i="13"/>
  <c r="L83" i="13"/>
  <c r="L110" i="13" s="1"/>
  <c r="S46" i="13"/>
  <c r="R46" i="13"/>
  <c r="L112" i="13"/>
  <c r="L114" i="13"/>
  <c r="R114" i="13" s="1"/>
  <c r="K63" i="13"/>
  <c r="K81" i="13" s="1"/>
  <c r="G81" i="13"/>
  <c r="G232" i="13" s="1"/>
  <c r="S139" i="13"/>
  <c r="R139" i="13"/>
  <c r="R152" i="13"/>
  <c r="K145" i="13"/>
  <c r="K150" i="13" s="1"/>
  <c r="R56" i="13"/>
  <c r="S195" i="13"/>
  <c r="R195" i="13"/>
  <c r="I126" i="13"/>
  <c r="R141" i="13"/>
  <c r="R83" i="13"/>
  <c r="R158" i="13"/>
  <c r="R202" i="13"/>
  <c r="R230" i="12"/>
  <c r="S230" i="12" s="1"/>
  <c r="L153" i="12"/>
  <c r="R153" i="12" s="1"/>
  <c r="L56" i="12"/>
  <c r="L60" i="12" s="1"/>
  <c r="G233" i="12"/>
  <c r="L48" i="12"/>
  <c r="L54" i="12" s="1"/>
  <c r="P233" i="12"/>
  <c r="L127" i="12"/>
  <c r="S46" i="12"/>
  <c r="R46" i="12"/>
  <c r="L201" i="12"/>
  <c r="R198" i="12"/>
  <c r="S198" i="12" s="1"/>
  <c r="R225" i="12"/>
  <c r="S225" i="12"/>
  <c r="L81" i="12"/>
  <c r="I117" i="12"/>
  <c r="L121" i="12"/>
  <c r="R119" i="12"/>
  <c r="S119" i="12" s="1"/>
  <c r="R60" i="12"/>
  <c r="L83" i="12"/>
  <c r="L111" i="12" s="1"/>
  <c r="R90" i="12"/>
  <c r="S90" i="12" s="1"/>
  <c r="R196" i="12"/>
  <c r="S196" i="12"/>
  <c r="L129" i="12"/>
  <c r="L140" i="12" s="1"/>
  <c r="R48" i="12"/>
  <c r="S48" i="12" s="1"/>
  <c r="K81" i="12"/>
  <c r="L157" i="12"/>
  <c r="R115" i="12"/>
  <c r="S115" i="12" s="1"/>
  <c r="L166" i="12"/>
  <c r="R125" i="12"/>
  <c r="S125" i="12" s="1"/>
  <c r="K127" i="12"/>
  <c r="L117" i="12"/>
  <c r="S215" i="12"/>
  <c r="R215" i="12"/>
  <c r="R232" i="12"/>
  <c r="S232" i="12"/>
  <c r="R113" i="12"/>
  <c r="S113" i="12" s="1"/>
  <c r="L146" i="12"/>
  <c r="L151" i="12" s="1"/>
  <c r="R56" i="12"/>
  <c r="S210" i="12"/>
  <c r="R210" i="12"/>
  <c r="R81" i="12"/>
  <c r="S81" i="12"/>
  <c r="R144" i="12"/>
  <c r="S144" i="12"/>
  <c r="I127" i="12"/>
  <c r="K117" i="12"/>
  <c r="K233" i="12" s="1"/>
  <c r="R29" i="12"/>
  <c r="S29" i="12" s="1"/>
  <c r="R164" i="12"/>
  <c r="S164" i="12"/>
  <c r="R83" i="12"/>
  <c r="S83" i="12" s="1"/>
  <c r="R237" i="12"/>
  <c r="L173" i="12"/>
  <c r="S127" i="12"/>
  <c r="R206" i="12"/>
  <c r="S206" i="12"/>
  <c r="R182" i="12"/>
  <c r="S182" i="12" s="1"/>
  <c r="I233" i="12"/>
  <c r="R124" i="12"/>
  <c r="S124" i="12" s="1"/>
  <c r="L232" i="10"/>
  <c r="R230" i="10"/>
  <c r="L60" i="10"/>
  <c r="R56" i="10"/>
  <c r="S54" i="10"/>
  <c r="S221" i="10"/>
  <c r="R221" i="10"/>
  <c r="S144" i="10"/>
  <c r="R144" i="10"/>
  <c r="R84" i="10"/>
  <c r="L119" i="10"/>
  <c r="L64" i="10"/>
  <c r="L81" i="10" s="1"/>
  <c r="L129" i="10"/>
  <c r="R166" i="10"/>
  <c r="S46" i="10"/>
  <c r="R46" i="10"/>
  <c r="G233" i="10"/>
  <c r="R40" i="10"/>
  <c r="R185" i="10"/>
  <c r="S185" i="10"/>
  <c r="P233" i="10"/>
  <c r="K159" i="10"/>
  <c r="K164" i="10" s="1"/>
  <c r="K233" i="10" s="1"/>
  <c r="K121" i="10"/>
  <c r="R113" i="10"/>
  <c r="L123" i="10"/>
  <c r="L127" i="10" s="1"/>
  <c r="R153" i="10"/>
  <c r="L215" i="10"/>
  <c r="R212" i="10"/>
  <c r="R201" i="10"/>
  <c r="S201" i="10"/>
  <c r="R180" i="10"/>
  <c r="S180" i="10"/>
  <c r="I81" i="10"/>
  <c r="R78" i="10"/>
  <c r="R206" i="10"/>
  <c r="S206" i="10"/>
  <c r="I127" i="10"/>
  <c r="R146" i="10"/>
  <c r="R236" i="10"/>
  <c r="R27" i="10"/>
  <c r="S151" i="9"/>
  <c r="R151" i="9"/>
  <c r="R159" i="9"/>
  <c r="R117" i="9"/>
  <c r="P233" i="9"/>
  <c r="R46" i="9"/>
  <c r="L140" i="9"/>
  <c r="L171" i="9"/>
  <c r="S225" i="9"/>
  <c r="R225" i="9"/>
  <c r="R144" i="9"/>
  <c r="S144" i="9"/>
  <c r="R171" i="9"/>
  <c r="S171" i="9"/>
  <c r="R38" i="9"/>
  <c r="G127" i="9"/>
  <c r="G233" i="9" s="1"/>
  <c r="L123" i="9"/>
  <c r="L127" i="9" s="1"/>
  <c r="K123" i="9"/>
  <c r="K127" i="9" s="1"/>
  <c r="R140" i="9"/>
  <c r="S140" i="9"/>
  <c r="K92" i="9"/>
  <c r="K111" i="9" s="1"/>
  <c r="K233" i="9" s="1"/>
  <c r="R218" i="9"/>
  <c r="K153" i="9"/>
  <c r="K157" i="9" s="1"/>
  <c r="R60" i="9"/>
  <c r="S54" i="9"/>
  <c r="L117" i="9"/>
  <c r="R182" i="9"/>
  <c r="L119" i="9"/>
  <c r="R232" i="9"/>
  <c r="S232" i="9"/>
  <c r="S180" i="9"/>
  <c r="R180" i="9"/>
  <c r="L64" i="9"/>
  <c r="I233" i="9"/>
  <c r="R78" i="9"/>
  <c r="S191" i="9"/>
  <c r="R191" i="9"/>
  <c r="L83" i="9"/>
  <c r="R180" i="8"/>
  <c r="S180" i="8"/>
  <c r="L125" i="8"/>
  <c r="R125" i="8" s="1"/>
  <c r="R129" i="8"/>
  <c r="R182" i="8"/>
  <c r="S182" i="8" s="1"/>
  <c r="R38" i="8"/>
  <c r="L117" i="8"/>
  <c r="R228" i="8"/>
  <c r="S228" i="8"/>
  <c r="R225" i="8"/>
  <c r="S225" i="8"/>
  <c r="S221" i="8"/>
  <c r="R72" i="8"/>
  <c r="S46" i="8"/>
  <c r="R46" i="8"/>
  <c r="R153" i="8"/>
  <c r="K111" i="8"/>
  <c r="L60" i="8"/>
  <c r="R237" i="8"/>
  <c r="K90" i="8"/>
  <c r="L90" i="8" s="1"/>
  <c r="R90" i="8" s="1"/>
  <c r="S117" i="8"/>
  <c r="R117" i="8"/>
  <c r="K127" i="8"/>
  <c r="K233" i="8" s="1"/>
  <c r="R221" i="8"/>
  <c r="I233" i="8"/>
  <c r="R206" i="8"/>
  <c r="S206" i="8"/>
  <c r="S60" i="8"/>
  <c r="L83" i="8"/>
  <c r="L119" i="8"/>
  <c r="R230" i="8"/>
  <c r="I117" i="8"/>
  <c r="L123" i="8"/>
  <c r="L127" i="8" s="1"/>
  <c r="F233" i="8"/>
  <c r="R236" i="8"/>
  <c r="R54" i="8"/>
  <c r="L171" i="8"/>
  <c r="R166" i="8"/>
  <c r="R196" i="8"/>
  <c r="S196" i="8"/>
  <c r="R83" i="8"/>
  <c r="S210" i="8"/>
  <c r="R210" i="8"/>
  <c r="P233" i="8"/>
  <c r="K117" i="8"/>
  <c r="R123" i="8"/>
  <c r="R201" i="8"/>
  <c r="S201" i="8"/>
  <c r="L146" i="8"/>
  <c r="R159" i="8"/>
  <c r="S159" i="8" s="1"/>
  <c r="R237" i="7"/>
  <c r="R60" i="7"/>
  <c r="L60" i="7"/>
  <c r="R56" i="7"/>
  <c r="S38" i="7"/>
  <c r="R38" i="7"/>
  <c r="L76" i="7"/>
  <c r="R225" i="7"/>
  <c r="S225" i="7"/>
  <c r="S206" i="7"/>
  <c r="R27" i="7"/>
  <c r="R221" i="7"/>
  <c r="S221" i="7"/>
  <c r="R153" i="7"/>
  <c r="R201" i="7"/>
  <c r="S201" i="7"/>
  <c r="S210" i="7"/>
  <c r="R210" i="7"/>
  <c r="R185" i="7"/>
  <c r="S185" i="7"/>
  <c r="S46" i="7"/>
  <c r="R46" i="7"/>
  <c r="I233" i="7"/>
  <c r="R144" i="7"/>
  <c r="S144" i="7"/>
  <c r="S54" i="7"/>
  <c r="L119" i="7"/>
  <c r="R206" i="7"/>
  <c r="S238" i="7"/>
  <c r="S27" i="7"/>
  <c r="I127" i="7"/>
  <c r="R35" i="7"/>
  <c r="L81" i="7"/>
  <c r="R63" i="7"/>
  <c r="R124" i="7"/>
  <c r="G127" i="7"/>
  <c r="K123" i="7"/>
  <c r="K127" i="7" s="1"/>
  <c r="K233" i="7" s="1"/>
  <c r="R196" i="7"/>
  <c r="S196" i="7"/>
  <c r="S215" i="7"/>
  <c r="R215" i="7"/>
  <c r="K90" i="7"/>
  <c r="K111" i="7" s="1"/>
  <c r="G111" i="7"/>
  <c r="R171" i="7"/>
  <c r="S171" i="7"/>
  <c r="R76" i="7"/>
  <c r="R83" i="7"/>
  <c r="L164" i="7"/>
  <c r="R159" i="7"/>
  <c r="R238" i="7"/>
  <c r="L173" i="7"/>
  <c r="L232" i="7"/>
  <c r="R230" i="7"/>
  <c r="L130" i="7"/>
  <c r="K146" i="7"/>
  <c r="K151" i="7" s="1"/>
  <c r="R228" i="7"/>
  <c r="S228" i="7"/>
  <c r="L113" i="7"/>
  <c r="R64" i="6"/>
  <c r="S64" i="6" s="1"/>
  <c r="R228" i="6"/>
  <c r="S227" i="6"/>
  <c r="S228" i="6" s="1"/>
  <c r="L215" i="6"/>
  <c r="R212" i="6"/>
  <c r="K153" i="6"/>
  <c r="K157" i="6" s="1"/>
  <c r="L54" i="6"/>
  <c r="R48" i="6"/>
  <c r="R63" i="6"/>
  <c r="L160" i="6"/>
  <c r="R160" i="6" s="1"/>
  <c r="S160" i="6" s="1"/>
  <c r="R56" i="6"/>
  <c r="S56" i="6" s="1"/>
  <c r="S60" i="6" s="1"/>
  <c r="L64" i="6"/>
  <c r="L63" i="6"/>
  <c r="L81" i="6" s="1"/>
  <c r="L119" i="6"/>
  <c r="L182" i="6"/>
  <c r="L185" i="6" s="1"/>
  <c r="R60" i="6"/>
  <c r="G127" i="6"/>
  <c r="G233" i="6" s="1"/>
  <c r="K123" i="6"/>
  <c r="K127" i="6" s="1"/>
  <c r="L123" i="6"/>
  <c r="L127" i="6" s="1"/>
  <c r="R38" i="6"/>
  <c r="S29" i="6"/>
  <c r="R130" i="6"/>
  <c r="P233" i="6"/>
  <c r="S17" i="6"/>
  <c r="R27" i="6"/>
  <c r="R90" i="6"/>
  <c r="S90" i="6" s="1"/>
  <c r="I233" i="6"/>
  <c r="F233" i="6"/>
  <c r="K164" i="6"/>
  <c r="K233" i="6" s="1"/>
  <c r="L115" i="6"/>
  <c r="R115" i="6" s="1"/>
  <c r="K117" i="6"/>
  <c r="R159" i="6"/>
  <c r="R146" i="6"/>
  <c r="R45" i="6"/>
  <c r="L113" i="6"/>
  <c r="L201" i="6"/>
  <c r="R198" i="6"/>
  <c r="L159" i="6"/>
  <c r="L173" i="6"/>
  <c r="L180" i="6" s="1"/>
  <c r="S126" i="6"/>
  <c r="R113" i="6"/>
  <c r="R210" i="6"/>
  <c r="S209" i="6"/>
  <c r="S210" i="6" s="1"/>
  <c r="L111" i="6"/>
  <c r="R83" i="6"/>
  <c r="S193" i="6"/>
  <c r="S196" i="6" s="1"/>
  <c r="R196" i="6"/>
  <c r="R173" i="6"/>
  <c r="L166" i="6"/>
  <c r="L171" i="6" s="1"/>
  <c r="R110" i="6"/>
  <c r="S110" i="6" s="1"/>
  <c r="C233" i="5"/>
  <c r="P209" i="5"/>
  <c r="P210" i="5" s="1"/>
  <c r="G215" i="5"/>
  <c r="G228" i="5"/>
  <c r="M233" i="5"/>
  <c r="G232" i="5"/>
  <c r="N144" i="5"/>
  <c r="G206" i="5"/>
  <c r="E46" i="5"/>
  <c r="P116" i="5"/>
  <c r="P117" i="5" s="1"/>
  <c r="E127" i="5"/>
  <c r="O22" i="5"/>
  <c r="R22" i="5" s="1"/>
  <c r="S22" i="5" s="1"/>
  <c r="E151" i="5"/>
  <c r="G151" i="5" s="1"/>
  <c r="F182" i="5"/>
  <c r="F185" i="5" s="1"/>
  <c r="G185" i="5" s="1"/>
  <c r="E180" i="5"/>
  <c r="G180" i="5" s="1"/>
  <c r="E117" i="5"/>
  <c r="N127" i="5"/>
  <c r="K203" i="5"/>
  <c r="K206" i="5" s="1"/>
  <c r="H25" i="5"/>
  <c r="R25" i="5" s="1"/>
  <c r="S25" i="5" s="1"/>
  <c r="I169" i="5"/>
  <c r="I171" i="5" s="1"/>
  <c r="P178" i="5"/>
  <c r="R178" i="5" s="1"/>
  <c r="S178" i="5" s="1"/>
  <c r="O21" i="5"/>
  <c r="R21" i="5" s="1"/>
  <c r="S21" i="5" s="1"/>
  <c r="P196" i="5"/>
  <c r="G201" i="5"/>
  <c r="P213" i="5"/>
  <c r="K210" i="5"/>
  <c r="L208" i="5"/>
  <c r="L210" i="5" s="1"/>
  <c r="K103" i="5"/>
  <c r="P171" i="5"/>
  <c r="F60" i="5"/>
  <c r="G56" i="5"/>
  <c r="G60" i="5" s="1"/>
  <c r="K85" i="5"/>
  <c r="L85" i="5" s="1"/>
  <c r="R85" i="5" s="1"/>
  <c r="S85" i="5" s="1"/>
  <c r="P149" i="5"/>
  <c r="R149" i="5" s="1"/>
  <c r="S149" i="5" s="1"/>
  <c r="I180" i="5"/>
  <c r="E81" i="5"/>
  <c r="J44" i="5"/>
  <c r="J46" i="5" s="1"/>
  <c r="I78" i="5"/>
  <c r="R78" i="5" s="1"/>
  <c r="S78" i="5" s="1"/>
  <c r="I105" i="5"/>
  <c r="G146" i="5"/>
  <c r="K146" i="5" s="1"/>
  <c r="G173" i="5"/>
  <c r="K173" i="5" s="1"/>
  <c r="R209" i="5"/>
  <c r="S209" i="5" s="1"/>
  <c r="O24" i="5"/>
  <c r="R24" i="5" s="1"/>
  <c r="S24" i="5" s="1"/>
  <c r="K84" i="5"/>
  <c r="L84" i="5" s="1"/>
  <c r="R84" i="5" s="1"/>
  <c r="S84" i="5" s="1"/>
  <c r="L91" i="5"/>
  <c r="R91" i="5" s="1"/>
  <c r="S91" i="5" s="1"/>
  <c r="E60" i="5"/>
  <c r="R79" i="5"/>
  <c r="S79" i="5" s="1"/>
  <c r="L198" i="5"/>
  <c r="L201" i="5" s="1"/>
  <c r="P224" i="5"/>
  <c r="P225" i="5" s="1"/>
  <c r="C239" i="5"/>
  <c r="N81" i="5"/>
  <c r="F126" i="5"/>
  <c r="G126" i="5" s="1"/>
  <c r="L134" i="5"/>
  <c r="R134" i="5" s="1"/>
  <c r="S134" i="5" s="1"/>
  <c r="R170" i="5"/>
  <c r="S170" i="5" s="1"/>
  <c r="G119" i="5"/>
  <c r="K119" i="5" s="1"/>
  <c r="E140" i="5"/>
  <c r="P204" i="5"/>
  <c r="P206" i="5" s="1"/>
  <c r="O17" i="5"/>
  <c r="F81" i="5"/>
  <c r="E237" i="5"/>
  <c r="L92" i="5"/>
  <c r="R92" i="5" s="1"/>
  <c r="S92" i="5" s="1"/>
  <c r="E144" i="5"/>
  <c r="P199" i="5"/>
  <c r="P201" i="5" s="1"/>
  <c r="G225" i="5"/>
  <c r="I194" i="5"/>
  <c r="P81" i="5"/>
  <c r="K67" i="5"/>
  <c r="K57" i="5"/>
  <c r="K68" i="5"/>
  <c r="L68" i="5" s="1"/>
  <c r="R68" i="5" s="1"/>
  <c r="S68" i="5" s="1"/>
  <c r="I107" i="5"/>
  <c r="K107" i="5"/>
  <c r="K27" i="5"/>
  <c r="H19" i="5"/>
  <c r="R19" i="5" s="1"/>
  <c r="S19" i="5" s="1"/>
  <c r="O23" i="5"/>
  <c r="H23" i="5"/>
  <c r="P34" i="5"/>
  <c r="R34" i="5" s="1"/>
  <c r="S34" i="5" s="1"/>
  <c r="G54" i="5"/>
  <c r="K71" i="5"/>
  <c r="L71" i="5" s="1"/>
  <c r="R71" i="5" s="1"/>
  <c r="S71" i="5" s="1"/>
  <c r="O26" i="5"/>
  <c r="H26" i="5"/>
  <c r="L49" i="5"/>
  <c r="R49" i="5" s="1"/>
  <c r="S49" i="5" s="1"/>
  <c r="L65" i="5"/>
  <c r="R65" i="5" s="1"/>
  <c r="S65" i="5" s="1"/>
  <c r="K73" i="5"/>
  <c r="L73" i="5" s="1"/>
  <c r="K104" i="5"/>
  <c r="L104" i="5" s="1"/>
  <c r="R104" i="5" s="1"/>
  <c r="S104" i="5" s="1"/>
  <c r="K69" i="5"/>
  <c r="L69" i="5" s="1"/>
  <c r="R69" i="5" s="1"/>
  <c r="S69" i="5" s="1"/>
  <c r="K101" i="5"/>
  <c r="L101" i="5" s="1"/>
  <c r="E38" i="5"/>
  <c r="G38" i="5" s="1"/>
  <c r="K54" i="5"/>
  <c r="R179" i="5"/>
  <c r="S179" i="5" s="1"/>
  <c r="S210" i="5"/>
  <c r="G40" i="5"/>
  <c r="P52" i="5"/>
  <c r="P54" i="5" s="1"/>
  <c r="L66" i="5"/>
  <c r="R66" i="5" s="1"/>
  <c r="S66" i="5" s="1"/>
  <c r="L88" i="5"/>
  <c r="K93" i="5"/>
  <c r="L93" i="5" s="1"/>
  <c r="K98" i="5"/>
  <c r="L98" i="5" s="1"/>
  <c r="R98" i="5" s="1"/>
  <c r="S98" i="5" s="1"/>
  <c r="K100" i="5"/>
  <c r="E111" i="5"/>
  <c r="R143" i="5"/>
  <c r="S143" i="5" s="1"/>
  <c r="K155" i="5"/>
  <c r="L155" i="5" s="1"/>
  <c r="R155" i="5" s="1"/>
  <c r="S155" i="5" s="1"/>
  <c r="K176" i="5"/>
  <c r="L176" i="5" s="1"/>
  <c r="I189" i="5"/>
  <c r="P189" i="5"/>
  <c r="P191" i="5" s="1"/>
  <c r="I201" i="5"/>
  <c r="L94" i="5"/>
  <c r="R94" i="5" s="1"/>
  <c r="S94" i="5" s="1"/>
  <c r="F120" i="5"/>
  <c r="G120" i="5" s="1"/>
  <c r="R210" i="5"/>
  <c r="O18" i="5"/>
  <c r="G45" i="5"/>
  <c r="K58" i="5"/>
  <c r="G64" i="5"/>
  <c r="K70" i="5"/>
  <c r="L70" i="5" s="1"/>
  <c r="L95" i="5"/>
  <c r="R95" i="5" s="1"/>
  <c r="S95" i="5" s="1"/>
  <c r="K99" i="5"/>
  <c r="K113" i="5"/>
  <c r="I113" i="5"/>
  <c r="F117" i="5"/>
  <c r="P150" i="5"/>
  <c r="R150" i="5" s="1"/>
  <c r="S150" i="5" s="1"/>
  <c r="G16" i="5"/>
  <c r="H17" i="5"/>
  <c r="R33" i="5"/>
  <c r="S33" i="5" s="1"/>
  <c r="G35" i="5"/>
  <c r="R48" i="5"/>
  <c r="S48" i="5" s="1"/>
  <c r="L50" i="5"/>
  <c r="R50" i="5" s="1"/>
  <c r="S50" i="5" s="1"/>
  <c r="R51" i="5"/>
  <c r="S51" i="5" s="1"/>
  <c r="L53" i="5"/>
  <c r="R53" i="5" s="1"/>
  <c r="S53" i="5" s="1"/>
  <c r="E54" i="5"/>
  <c r="P59" i="5"/>
  <c r="P60" i="5" s="1"/>
  <c r="G83" i="5"/>
  <c r="R86" i="5"/>
  <c r="S86" i="5" s="1"/>
  <c r="R88" i="5"/>
  <c r="S88" i="5" s="1"/>
  <c r="K89" i="5"/>
  <c r="L89" i="5" s="1"/>
  <c r="L96" i="5"/>
  <c r="R96" i="5" s="1"/>
  <c r="S96" i="5" s="1"/>
  <c r="L102" i="5"/>
  <c r="R102" i="5" s="1"/>
  <c r="S102" i="5" s="1"/>
  <c r="L106" i="5"/>
  <c r="R106" i="5" s="1"/>
  <c r="S106" i="5" s="1"/>
  <c r="P110" i="5"/>
  <c r="P111" i="5" s="1"/>
  <c r="F123" i="5"/>
  <c r="F140" i="5"/>
  <c r="P139" i="5"/>
  <c r="P140" i="5" s="1"/>
  <c r="G144" i="5"/>
  <c r="K142" i="5"/>
  <c r="K144" i="5" s="1"/>
  <c r="K160" i="5"/>
  <c r="L160" i="5" s="1"/>
  <c r="R160" i="5" s="1"/>
  <c r="S160" i="5" s="1"/>
  <c r="K225" i="5"/>
  <c r="L223" i="5"/>
  <c r="L225" i="5" s="1"/>
  <c r="K72" i="5"/>
  <c r="L72" i="5" s="1"/>
  <c r="R75" i="5"/>
  <c r="S75" i="5" s="1"/>
  <c r="G90" i="5"/>
  <c r="L114" i="5"/>
  <c r="R114" i="5" s="1"/>
  <c r="S114" i="5" s="1"/>
  <c r="K130" i="5"/>
  <c r="K138" i="5"/>
  <c r="L138" i="5" s="1"/>
  <c r="G15" i="5"/>
  <c r="R14" i="5"/>
  <c r="R15" i="5"/>
  <c r="S15" i="5" s="1"/>
  <c r="E27" i="5"/>
  <c r="G63" i="5"/>
  <c r="R74" i="5"/>
  <c r="S74" i="5" s="1"/>
  <c r="E236" i="5"/>
  <c r="G76" i="5"/>
  <c r="K77" i="5"/>
  <c r="R87" i="5"/>
  <c r="S87" i="5" s="1"/>
  <c r="F108" i="5"/>
  <c r="G108" i="5" s="1"/>
  <c r="G115" i="5"/>
  <c r="I125" i="5"/>
  <c r="K125" i="5"/>
  <c r="G140" i="5"/>
  <c r="K129" i="5"/>
  <c r="L129" i="5" s="1"/>
  <c r="K133" i="5"/>
  <c r="L133" i="5" s="1"/>
  <c r="P162" i="5"/>
  <c r="I162" i="5"/>
  <c r="I164" i="5" s="1"/>
  <c r="K228" i="5"/>
  <c r="L227" i="5"/>
  <c r="L228" i="5" s="1"/>
  <c r="G116" i="5"/>
  <c r="G124" i="5"/>
  <c r="P126" i="5"/>
  <c r="P127" i="5" s="1"/>
  <c r="L137" i="5"/>
  <c r="R137" i="5" s="1"/>
  <c r="S137" i="5" s="1"/>
  <c r="I148" i="5"/>
  <c r="P148" i="5"/>
  <c r="P156" i="5"/>
  <c r="P157" i="5" s="1"/>
  <c r="I156" i="5"/>
  <c r="I157" i="5" s="1"/>
  <c r="P163" i="5"/>
  <c r="R163" i="5" s="1"/>
  <c r="S163" i="5" s="1"/>
  <c r="P219" i="5"/>
  <c r="E121" i="5"/>
  <c r="I136" i="5"/>
  <c r="L136" i="5" s="1"/>
  <c r="K147" i="5"/>
  <c r="L147" i="5" s="1"/>
  <c r="K154" i="5"/>
  <c r="K161" i="5"/>
  <c r="K183" i="5"/>
  <c r="K185" i="5" s="1"/>
  <c r="I206" i="5"/>
  <c r="L217" i="5"/>
  <c r="F166" i="5"/>
  <c r="F171" i="5" s="1"/>
  <c r="E171" i="5"/>
  <c r="K177" i="5"/>
  <c r="L177" i="5" s="1"/>
  <c r="P215" i="5"/>
  <c r="I218" i="5"/>
  <c r="I221" i="5" s="1"/>
  <c r="E221" i="5"/>
  <c r="G221" i="5" s="1"/>
  <c r="Q239" i="5"/>
  <c r="G174" i="5"/>
  <c r="I184" i="5"/>
  <c r="I185" i="5" s="1"/>
  <c r="K191" i="5"/>
  <c r="L188" i="5"/>
  <c r="L191" i="5" s="1"/>
  <c r="L193" i="5"/>
  <c r="L196" i="5" s="1"/>
  <c r="R213" i="5"/>
  <c r="S213" i="5" s="1"/>
  <c r="K218" i="5"/>
  <c r="K221" i="5" s="1"/>
  <c r="G220" i="5"/>
  <c r="P220" i="5" s="1"/>
  <c r="R220" i="5" s="1"/>
  <c r="S220" i="5" s="1"/>
  <c r="E157" i="5"/>
  <c r="E164" i="5"/>
  <c r="F159" i="5"/>
  <c r="F164" i="5" s="1"/>
  <c r="F153" i="5"/>
  <c r="K167" i="5"/>
  <c r="L168" i="5"/>
  <c r="R168" i="5" s="1"/>
  <c r="S168" i="5" s="1"/>
  <c r="G210" i="5"/>
  <c r="L212" i="5"/>
  <c r="R224" i="5"/>
  <c r="S224" i="5" s="1"/>
  <c r="K230" i="5"/>
  <c r="I231" i="5"/>
  <c r="S221" i="4"/>
  <c r="S215" i="4"/>
  <c r="S206" i="4"/>
  <c r="S188" i="4"/>
  <c r="S186" i="4"/>
  <c r="S86" i="4"/>
  <c r="S96" i="4"/>
  <c r="Q233" i="4"/>
  <c r="Q237" i="4" s="1"/>
  <c r="C233" i="4"/>
  <c r="F118" i="4"/>
  <c r="G118" i="4" s="1"/>
  <c r="E118" i="4"/>
  <c r="E117" i="4"/>
  <c r="F117" i="4" s="1"/>
  <c r="E111" i="4"/>
  <c r="Q236" i="4"/>
  <c r="C236" i="4"/>
  <c r="Q235" i="4"/>
  <c r="C235" i="4"/>
  <c r="Q234" i="4"/>
  <c r="C234" i="4"/>
  <c r="F230" i="4"/>
  <c r="E230" i="4"/>
  <c r="G230" i="4" s="1"/>
  <c r="C230" i="4"/>
  <c r="G229" i="4"/>
  <c r="I229" i="4" s="1"/>
  <c r="I230" i="4" s="1"/>
  <c r="G228" i="4"/>
  <c r="K228" i="4" s="1"/>
  <c r="F226" i="4"/>
  <c r="E226" i="4"/>
  <c r="C226" i="4"/>
  <c r="G225" i="4"/>
  <c r="F223" i="4"/>
  <c r="E223" i="4"/>
  <c r="C223" i="4"/>
  <c r="G222" i="4"/>
  <c r="G221" i="4"/>
  <c r="K221" i="4" s="1"/>
  <c r="F219" i="4"/>
  <c r="C219" i="4"/>
  <c r="E218" i="4"/>
  <c r="G218" i="4" s="1"/>
  <c r="P218" i="4" s="1"/>
  <c r="G217" i="4"/>
  <c r="P217" i="4" s="1"/>
  <c r="P219" i="4" s="1"/>
  <c r="K216" i="4"/>
  <c r="G216" i="4"/>
  <c r="I216" i="4" s="1"/>
  <c r="K215" i="4"/>
  <c r="L215" i="4" s="1"/>
  <c r="G215" i="4"/>
  <c r="F213" i="4"/>
  <c r="E213" i="4"/>
  <c r="G213" i="4" s="1"/>
  <c r="C213" i="4"/>
  <c r="G212" i="4"/>
  <c r="P212" i="4" s="1"/>
  <c r="R212" i="4" s="1"/>
  <c r="S212" i="4" s="1"/>
  <c r="G211" i="4"/>
  <c r="K210" i="4"/>
  <c r="K213" i="4" s="1"/>
  <c r="G210" i="4"/>
  <c r="F208" i="4"/>
  <c r="E208" i="4"/>
  <c r="G208" i="4" s="1"/>
  <c r="C208" i="4"/>
  <c r="P207" i="4"/>
  <c r="P208" i="4" s="1"/>
  <c r="G207" i="4"/>
  <c r="I207" i="4" s="1"/>
  <c r="I208" i="4" s="1"/>
  <c r="K206" i="4"/>
  <c r="L206" i="4" s="1"/>
  <c r="L208" i="4" s="1"/>
  <c r="G206" i="4"/>
  <c r="F204" i="4"/>
  <c r="E204" i="4"/>
  <c r="C204" i="4"/>
  <c r="G203" i="4"/>
  <c r="P203" i="4" s="1"/>
  <c r="R203" i="4" s="1"/>
  <c r="S203" i="4" s="1"/>
  <c r="G202" i="4"/>
  <c r="G201" i="4"/>
  <c r="G199" i="4"/>
  <c r="F199" i="4"/>
  <c r="E199" i="4"/>
  <c r="C199" i="4"/>
  <c r="G198" i="4"/>
  <c r="P198" i="4" s="1"/>
  <c r="R198" i="4" s="1"/>
  <c r="S198" i="4" s="1"/>
  <c r="G197" i="4"/>
  <c r="P197" i="4" s="1"/>
  <c r="P199" i="4" s="1"/>
  <c r="G196" i="4"/>
  <c r="I194" i="4"/>
  <c r="G194" i="4"/>
  <c r="E194" i="4"/>
  <c r="C194" i="4"/>
  <c r="G193" i="4"/>
  <c r="P193" i="4" s="1"/>
  <c r="R193" i="4" s="1"/>
  <c r="S193" i="4" s="1"/>
  <c r="P192" i="4"/>
  <c r="G192" i="4"/>
  <c r="I192" i="4" s="1"/>
  <c r="K191" i="4"/>
  <c r="K194" i="4" s="1"/>
  <c r="G191" i="4"/>
  <c r="E189" i="4"/>
  <c r="G189" i="4" s="1"/>
  <c r="C189" i="4"/>
  <c r="G188" i="4"/>
  <c r="P188" i="4" s="1"/>
  <c r="R188" i="4" s="1"/>
  <c r="I187" i="4"/>
  <c r="I189" i="4" s="1"/>
  <c r="G187" i="4"/>
  <c r="P187" i="4" s="1"/>
  <c r="G186" i="4"/>
  <c r="K186" i="4" s="1"/>
  <c r="K189" i="4" s="1"/>
  <c r="M183" i="4"/>
  <c r="E183" i="4"/>
  <c r="C183" i="4"/>
  <c r="P182" i="4"/>
  <c r="P183" i="4" s="1"/>
  <c r="I182" i="4"/>
  <c r="G182" i="4"/>
  <c r="G181" i="4"/>
  <c r="K181" i="4" s="1"/>
  <c r="K183" i="4" s="1"/>
  <c r="E180" i="4"/>
  <c r="F180" i="4" s="1"/>
  <c r="G180" i="4" s="1"/>
  <c r="L180" i="4" s="1"/>
  <c r="O178" i="4"/>
  <c r="C178" i="4"/>
  <c r="G177" i="4"/>
  <c r="P177" i="4" s="1"/>
  <c r="G176" i="4"/>
  <c r="I176" i="4" s="1"/>
  <c r="I178" i="4" s="1"/>
  <c r="E175" i="4"/>
  <c r="G175" i="4" s="1"/>
  <c r="K175" i="4" s="1"/>
  <c r="K174" i="4"/>
  <c r="G174" i="4"/>
  <c r="G173" i="4"/>
  <c r="K173" i="4" s="1"/>
  <c r="L173" i="4" s="1"/>
  <c r="K172" i="4"/>
  <c r="L172" i="4" s="1"/>
  <c r="E172" i="4"/>
  <c r="G172" i="4" s="1"/>
  <c r="F171" i="4"/>
  <c r="F178" i="4" s="1"/>
  <c r="O169" i="4"/>
  <c r="C169" i="4"/>
  <c r="G168" i="4"/>
  <c r="P168" i="4" s="1"/>
  <c r="P167" i="4"/>
  <c r="G167" i="4"/>
  <c r="I167" i="4" s="1"/>
  <c r="I169" i="4" s="1"/>
  <c r="K166" i="4"/>
  <c r="G166" i="4"/>
  <c r="G165" i="4"/>
  <c r="K165" i="4" s="1"/>
  <c r="E164" i="4"/>
  <c r="F164" i="4" s="1"/>
  <c r="F169" i="4" s="1"/>
  <c r="O162" i="4"/>
  <c r="M162" i="4"/>
  <c r="C162" i="4"/>
  <c r="G161" i="4"/>
  <c r="G160" i="4"/>
  <c r="I160" i="4" s="1"/>
  <c r="I162" i="4" s="1"/>
  <c r="G159" i="4"/>
  <c r="E159" i="4"/>
  <c r="E158" i="4"/>
  <c r="F157" i="4"/>
  <c r="E157" i="4"/>
  <c r="O155" i="4"/>
  <c r="M155" i="4"/>
  <c r="C155" i="4"/>
  <c r="G154" i="4"/>
  <c r="I154" i="4" s="1"/>
  <c r="I155" i="4" s="1"/>
  <c r="G153" i="4"/>
  <c r="K153" i="4" s="1"/>
  <c r="G152" i="4"/>
  <c r="E152" i="4"/>
  <c r="E151" i="4"/>
  <c r="C149" i="4"/>
  <c r="G148" i="4"/>
  <c r="P148" i="4" s="1"/>
  <c r="E147" i="4"/>
  <c r="G147" i="4" s="1"/>
  <c r="P147" i="4" s="1"/>
  <c r="G146" i="4"/>
  <c r="P146" i="4" s="1"/>
  <c r="G145" i="4"/>
  <c r="E144" i="4"/>
  <c r="F144" i="4" s="1"/>
  <c r="F149" i="4" s="1"/>
  <c r="C142" i="4"/>
  <c r="N141" i="4"/>
  <c r="E141" i="4"/>
  <c r="N140" i="4"/>
  <c r="N142" i="4" s="1"/>
  <c r="E140" i="4"/>
  <c r="G140" i="4" s="1"/>
  <c r="O138" i="4"/>
  <c r="M138" i="4"/>
  <c r="C138" i="4"/>
  <c r="G137" i="4"/>
  <c r="E137" i="4"/>
  <c r="G136" i="4"/>
  <c r="K136" i="4" s="1"/>
  <c r="G135" i="4"/>
  <c r="K134" i="4"/>
  <c r="G134" i="4"/>
  <c r="I134" i="4" s="1"/>
  <c r="E134" i="4"/>
  <c r="G133" i="4"/>
  <c r="K133" i="4" s="1"/>
  <c r="G132" i="4"/>
  <c r="E131" i="4"/>
  <c r="E138" i="4" s="1"/>
  <c r="F128" i="4"/>
  <c r="G128" i="4" s="1"/>
  <c r="F127" i="4"/>
  <c r="C125" i="4"/>
  <c r="N124" i="4"/>
  <c r="E124" i="4"/>
  <c r="N123" i="4"/>
  <c r="N125" i="4" s="1"/>
  <c r="E123" i="4"/>
  <c r="F123" i="4" s="1"/>
  <c r="E122" i="4"/>
  <c r="E121" i="4"/>
  <c r="F121" i="4" s="1"/>
  <c r="C115" i="4"/>
  <c r="E114" i="4"/>
  <c r="P114" i="4" s="1"/>
  <c r="P115" i="4" s="1"/>
  <c r="E113" i="4"/>
  <c r="F112" i="4"/>
  <c r="G112" i="4" s="1"/>
  <c r="F111" i="4"/>
  <c r="G111" i="4" s="1"/>
  <c r="C109" i="4"/>
  <c r="E108" i="4"/>
  <c r="G108" i="4" s="1"/>
  <c r="G107" i="4"/>
  <c r="E106" i="4"/>
  <c r="E105" i="4"/>
  <c r="G105" i="4" s="1"/>
  <c r="K105" i="4" s="1"/>
  <c r="G104" i="4"/>
  <c r="E104" i="4"/>
  <c r="G103" i="4"/>
  <c r="I103" i="4" s="1"/>
  <c r="F102" i="4"/>
  <c r="G102" i="4" s="1"/>
  <c r="E101" i="4"/>
  <c r="G101" i="4" s="1"/>
  <c r="G100" i="4"/>
  <c r="E99" i="4"/>
  <c r="G99" i="4" s="1"/>
  <c r="E98" i="4"/>
  <c r="G98" i="4" s="1"/>
  <c r="G97" i="4"/>
  <c r="G96" i="4"/>
  <c r="K96" i="4" s="1"/>
  <c r="L96" i="4" s="1"/>
  <c r="R96" i="4" s="1"/>
  <c r="G95" i="4"/>
  <c r="G94" i="4"/>
  <c r="G93" i="4"/>
  <c r="K93" i="4" s="1"/>
  <c r="L93" i="4" s="1"/>
  <c r="E92" i="4"/>
  <c r="G92" i="4" s="1"/>
  <c r="F91" i="4"/>
  <c r="G91" i="4" s="1"/>
  <c r="G90" i="4"/>
  <c r="K90" i="4" s="1"/>
  <c r="L90" i="4" s="1"/>
  <c r="R90" i="4" s="1"/>
  <c r="S90" i="4" s="1"/>
  <c r="E89" i="4"/>
  <c r="F89" i="4" s="1"/>
  <c r="G89" i="4" s="1"/>
  <c r="F88" i="4"/>
  <c r="G88" i="4" s="1"/>
  <c r="E87" i="4"/>
  <c r="G86" i="4"/>
  <c r="K86" i="4" s="1"/>
  <c r="L86" i="4" s="1"/>
  <c r="R86" i="4" s="1"/>
  <c r="G85" i="4"/>
  <c r="F84" i="4"/>
  <c r="G84" i="4" s="1"/>
  <c r="G83" i="4"/>
  <c r="K83" i="4" s="1"/>
  <c r="L83" i="4" s="1"/>
  <c r="R83" i="4" s="1"/>
  <c r="S83" i="4" s="1"/>
  <c r="G82" i="4"/>
  <c r="F82" i="4"/>
  <c r="C80" i="4"/>
  <c r="G79" i="4"/>
  <c r="G78" i="4"/>
  <c r="N77" i="4"/>
  <c r="E77" i="4"/>
  <c r="E235" i="4" s="1"/>
  <c r="G76" i="4"/>
  <c r="I76" i="4" s="1"/>
  <c r="N75" i="4"/>
  <c r="G75" i="4"/>
  <c r="E75" i="4"/>
  <c r="G74" i="4"/>
  <c r="K74" i="4" s="1"/>
  <c r="F74" i="4"/>
  <c r="E73" i="4"/>
  <c r="G73" i="4" s="1"/>
  <c r="N72" i="4"/>
  <c r="G72" i="4"/>
  <c r="K72" i="4" s="1"/>
  <c r="L72" i="4" s="1"/>
  <c r="E72" i="4"/>
  <c r="E71" i="4"/>
  <c r="G71" i="4" s="1"/>
  <c r="G70" i="4"/>
  <c r="K70" i="4" s="1"/>
  <c r="L70" i="4" s="1"/>
  <c r="E70" i="4"/>
  <c r="E69" i="4"/>
  <c r="G69" i="4" s="1"/>
  <c r="E68" i="4"/>
  <c r="G68" i="4" s="1"/>
  <c r="K68" i="4" s="1"/>
  <c r="L68" i="4" s="1"/>
  <c r="N67" i="4"/>
  <c r="N80" i="4" s="1"/>
  <c r="E67" i="4"/>
  <c r="E66" i="4"/>
  <c r="G66" i="4" s="1"/>
  <c r="G65" i="4"/>
  <c r="K65" i="4" s="1"/>
  <c r="G64" i="4"/>
  <c r="K64" i="4" s="1"/>
  <c r="L64" i="4" s="1"/>
  <c r="E63" i="4"/>
  <c r="F62" i="4"/>
  <c r="F80" i="4" s="1"/>
  <c r="Q59" i="4"/>
  <c r="Q231" i="4" s="1"/>
  <c r="P58" i="4"/>
  <c r="P59" i="4" s="1"/>
  <c r="G58" i="4"/>
  <c r="R58" i="4" s="1"/>
  <c r="S58" i="4" s="1"/>
  <c r="F57" i="4"/>
  <c r="G57" i="4" s="1"/>
  <c r="F56" i="4"/>
  <c r="G56" i="4" s="1"/>
  <c r="K56" i="4" s="1"/>
  <c r="L56" i="4" s="1"/>
  <c r="E55" i="4"/>
  <c r="E59" i="4" s="1"/>
  <c r="C53" i="4"/>
  <c r="G52" i="4"/>
  <c r="G51" i="4"/>
  <c r="O50" i="4"/>
  <c r="O53" i="4" s="1"/>
  <c r="L49" i="4"/>
  <c r="R49" i="4" s="1"/>
  <c r="S49" i="4" s="1"/>
  <c r="K49" i="4"/>
  <c r="E48" i="4"/>
  <c r="G48" i="4" s="1"/>
  <c r="G47" i="4"/>
  <c r="K47" i="4" s="1"/>
  <c r="E47" i="4"/>
  <c r="C45" i="4"/>
  <c r="E44" i="4"/>
  <c r="E43" i="4"/>
  <c r="G43" i="4" s="1"/>
  <c r="P42" i="4"/>
  <c r="R42" i="4" s="1"/>
  <c r="S42" i="4" s="1"/>
  <c r="C40" i="4"/>
  <c r="E39" i="4"/>
  <c r="I37" i="4"/>
  <c r="C37" i="4"/>
  <c r="G36" i="4"/>
  <c r="G35" i="4"/>
  <c r="P35" i="4" s="1"/>
  <c r="P34" i="4"/>
  <c r="F34" i="4"/>
  <c r="F37" i="4" s="1"/>
  <c r="E33" i="4"/>
  <c r="G33" i="4" s="1"/>
  <c r="P33" i="4" s="1"/>
  <c r="E32" i="4"/>
  <c r="G32" i="4" s="1"/>
  <c r="G31" i="4"/>
  <c r="P31" i="4" s="1"/>
  <c r="G30" i="4"/>
  <c r="G29" i="4"/>
  <c r="P29" i="4" s="1"/>
  <c r="C27" i="4"/>
  <c r="E26" i="4"/>
  <c r="G26" i="4" s="1"/>
  <c r="G25" i="4"/>
  <c r="O25" i="4" s="1"/>
  <c r="G24" i="4"/>
  <c r="O24" i="4" s="1"/>
  <c r="E23" i="4"/>
  <c r="G23" i="4" s="1"/>
  <c r="G22" i="4"/>
  <c r="O22" i="4" s="1"/>
  <c r="G21" i="4"/>
  <c r="O21" i="4" s="1"/>
  <c r="G20" i="4"/>
  <c r="H20" i="4" s="1"/>
  <c r="R20" i="4" s="1"/>
  <c r="S20" i="4" s="1"/>
  <c r="O19" i="4"/>
  <c r="E19" i="4"/>
  <c r="G19" i="4" s="1"/>
  <c r="G18" i="4"/>
  <c r="O18" i="4" s="1"/>
  <c r="E18" i="4"/>
  <c r="G17" i="4"/>
  <c r="O17" i="4" s="1"/>
  <c r="R16" i="4"/>
  <c r="S16" i="4" s="1"/>
  <c r="E16" i="4"/>
  <c r="G16" i="4" s="1"/>
  <c r="R15" i="4"/>
  <c r="S15" i="4" s="1"/>
  <c r="E15" i="4"/>
  <c r="O14" i="4"/>
  <c r="M14" i="4"/>
  <c r="M27" i="4" s="1"/>
  <c r="M231" i="4" s="1"/>
  <c r="R237" i="16" l="1"/>
  <c r="R170" i="16"/>
  <c r="S170" i="16"/>
  <c r="S55" i="16"/>
  <c r="S205" i="16"/>
  <c r="R205" i="16"/>
  <c r="S195" i="16"/>
  <c r="R195" i="16"/>
  <c r="R38" i="16"/>
  <c r="S237" i="16"/>
  <c r="R200" i="16"/>
  <c r="S200" i="16"/>
  <c r="R81" i="16"/>
  <c r="S81" i="16"/>
  <c r="R150" i="16"/>
  <c r="S150" i="16"/>
  <c r="R156" i="16"/>
  <c r="S156" i="16"/>
  <c r="S179" i="16"/>
  <c r="R179" i="16"/>
  <c r="R139" i="16"/>
  <c r="S139" i="16"/>
  <c r="S163" i="16"/>
  <c r="L116" i="16"/>
  <c r="R59" i="16"/>
  <c r="R123" i="16"/>
  <c r="R112" i="16"/>
  <c r="R124" i="16"/>
  <c r="L126" i="16"/>
  <c r="L61" i="16"/>
  <c r="R83" i="16"/>
  <c r="R163" i="16"/>
  <c r="R113" i="16"/>
  <c r="R107" i="16"/>
  <c r="R103" i="16"/>
  <c r="R89" i="16"/>
  <c r="S61" i="16"/>
  <c r="R231" i="14"/>
  <c r="S231" i="14"/>
  <c r="R227" i="14"/>
  <c r="S227" i="14"/>
  <c r="R214" i="14"/>
  <c r="S214" i="14"/>
  <c r="R200" i="14"/>
  <c r="S200" i="14"/>
  <c r="R235" i="14"/>
  <c r="R184" i="14"/>
  <c r="R170" i="14"/>
  <c r="S170" i="14"/>
  <c r="R163" i="14"/>
  <c r="S163" i="14"/>
  <c r="R139" i="14"/>
  <c r="S139" i="14"/>
  <c r="L120" i="14"/>
  <c r="L232" i="14" s="1"/>
  <c r="R118" i="14"/>
  <c r="R116" i="14"/>
  <c r="S116" i="14"/>
  <c r="R81" i="14"/>
  <c r="S81" i="14"/>
  <c r="R237" i="14"/>
  <c r="R38" i="14"/>
  <c r="S195" i="14"/>
  <c r="R195" i="14"/>
  <c r="L150" i="14"/>
  <c r="R145" i="14"/>
  <c r="L126" i="14"/>
  <c r="R122" i="14"/>
  <c r="L110" i="14"/>
  <c r="R83" i="14"/>
  <c r="L60" i="14"/>
  <c r="R60" i="14" s="1"/>
  <c r="R56" i="14"/>
  <c r="S179" i="13"/>
  <c r="R179" i="13"/>
  <c r="S126" i="13"/>
  <c r="S60" i="13"/>
  <c r="S56" i="13"/>
  <c r="R123" i="13"/>
  <c r="S110" i="13"/>
  <c r="R110" i="13"/>
  <c r="L145" i="13"/>
  <c r="L150" i="13" s="1"/>
  <c r="L63" i="13"/>
  <c r="L116" i="13"/>
  <c r="L170" i="13"/>
  <c r="R165" i="13"/>
  <c r="S227" i="13"/>
  <c r="R227" i="13"/>
  <c r="S237" i="13"/>
  <c r="R200" i="13"/>
  <c r="S200" i="13"/>
  <c r="R205" i="13"/>
  <c r="S205" i="13"/>
  <c r="R143" i="13"/>
  <c r="S143" i="13"/>
  <c r="R145" i="13"/>
  <c r="S54" i="13"/>
  <c r="R236" i="13"/>
  <c r="R112" i="13"/>
  <c r="R156" i="13"/>
  <c r="S156" i="13"/>
  <c r="R120" i="13"/>
  <c r="S120" i="13"/>
  <c r="S190" i="13"/>
  <c r="R190" i="13"/>
  <c r="I232" i="13"/>
  <c r="R163" i="13"/>
  <c r="S163" i="13"/>
  <c r="K232" i="13"/>
  <c r="S231" i="13"/>
  <c r="R231" i="13"/>
  <c r="R235" i="13"/>
  <c r="R214" i="13"/>
  <c r="S214" i="13"/>
  <c r="R126" i="13"/>
  <c r="S153" i="12"/>
  <c r="S157" i="12" s="1"/>
  <c r="R157" i="12"/>
  <c r="R127" i="12"/>
  <c r="S56" i="12"/>
  <c r="S60" i="12" s="1"/>
  <c r="R111" i="12"/>
  <c r="S111" i="12"/>
  <c r="R201" i="12"/>
  <c r="S201" i="12"/>
  <c r="R185" i="12"/>
  <c r="S185" i="12"/>
  <c r="L180" i="12"/>
  <c r="R173" i="12"/>
  <c r="S173" i="12" s="1"/>
  <c r="R117" i="12"/>
  <c r="S117" i="12" s="1"/>
  <c r="R146" i="12"/>
  <c r="S146" i="12" s="1"/>
  <c r="R236" i="12"/>
  <c r="S237" i="12"/>
  <c r="R129" i="12"/>
  <c r="S129" i="12" s="1"/>
  <c r="R38" i="12"/>
  <c r="R238" i="12"/>
  <c r="L171" i="12"/>
  <c r="L233" i="12" s="1"/>
  <c r="R166" i="12"/>
  <c r="S166" i="12" s="1"/>
  <c r="R54" i="12"/>
  <c r="R121" i="12"/>
  <c r="S121" i="12"/>
  <c r="S215" i="10"/>
  <c r="R215" i="10"/>
  <c r="R60" i="10"/>
  <c r="L233" i="10"/>
  <c r="R151" i="10"/>
  <c r="S151" i="10"/>
  <c r="R237" i="10"/>
  <c r="S237" i="10"/>
  <c r="S41" i="10"/>
  <c r="R238" i="10"/>
  <c r="R171" i="10"/>
  <c r="S171" i="10"/>
  <c r="L121" i="10"/>
  <c r="R119" i="10"/>
  <c r="R111" i="10"/>
  <c r="I233" i="10"/>
  <c r="S157" i="10"/>
  <c r="R157" i="10"/>
  <c r="L159" i="10"/>
  <c r="L164" i="10" s="1"/>
  <c r="L140" i="10"/>
  <c r="R129" i="10"/>
  <c r="S111" i="10"/>
  <c r="R232" i="10"/>
  <c r="S232" i="10"/>
  <c r="R117" i="10"/>
  <c r="S117" i="10" s="1"/>
  <c r="S27" i="10"/>
  <c r="R64" i="10"/>
  <c r="R159" i="10"/>
  <c r="R123" i="10"/>
  <c r="R164" i="9"/>
  <c r="S164" i="9"/>
  <c r="L111" i="9"/>
  <c r="R83" i="9"/>
  <c r="R185" i="9"/>
  <c r="S185" i="9"/>
  <c r="S38" i="9"/>
  <c r="S238" i="9"/>
  <c r="L121" i="9"/>
  <c r="R119" i="9"/>
  <c r="R221" i="9"/>
  <c r="R237" i="9"/>
  <c r="S237" i="9"/>
  <c r="L81" i="9"/>
  <c r="R64" i="9"/>
  <c r="L153" i="9"/>
  <c r="R123" i="9"/>
  <c r="R236" i="9"/>
  <c r="R164" i="8"/>
  <c r="S164" i="8"/>
  <c r="S127" i="8"/>
  <c r="R127" i="8"/>
  <c r="L121" i="8"/>
  <c r="R119" i="8"/>
  <c r="S81" i="8"/>
  <c r="R81" i="8"/>
  <c r="L151" i="8"/>
  <c r="R146" i="8"/>
  <c r="S111" i="8"/>
  <c r="R171" i="8"/>
  <c r="S171" i="8"/>
  <c r="R235" i="8"/>
  <c r="R239" i="8" s="1"/>
  <c r="L111" i="8"/>
  <c r="S237" i="8"/>
  <c r="R157" i="8"/>
  <c r="S157" i="8"/>
  <c r="S27" i="8"/>
  <c r="S185" i="8"/>
  <c r="R185" i="8"/>
  <c r="S54" i="8"/>
  <c r="R232" i="8"/>
  <c r="S232" i="8"/>
  <c r="R60" i="8"/>
  <c r="L233" i="8"/>
  <c r="S38" i="8"/>
  <c r="S238" i="8"/>
  <c r="R140" i="8"/>
  <c r="S140" i="8"/>
  <c r="L180" i="7"/>
  <c r="R173" i="7"/>
  <c r="R81" i="7"/>
  <c r="S81" i="7"/>
  <c r="R236" i="7"/>
  <c r="L146" i="7"/>
  <c r="L151" i="7" s="1"/>
  <c r="R232" i="7"/>
  <c r="S232" i="7"/>
  <c r="S164" i="7"/>
  <c r="R164" i="7"/>
  <c r="S237" i="7"/>
  <c r="L90" i="7"/>
  <c r="L111" i="7" s="1"/>
  <c r="G233" i="7"/>
  <c r="R157" i="7"/>
  <c r="S157" i="7"/>
  <c r="R130" i="7"/>
  <c r="L140" i="7"/>
  <c r="L117" i="7"/>
  <c r="R113" i="7"/>
  <c r="R146" i="7"/>
  <c r="L123" i="7"/>
  <c r="R119" i="7"/>
  <c r="L121" i="7"/>
  <c r="S115" i="6"/>
  <c r="R236" i="6"/>
  <c r="S198" i="6"/>
  <c r="S201" i="6" s="1"/>
  <c r="R201" i="6"/>
  <c r="S130" i="6"/>
  <c r="S140" i="6" s="1"/>
  <c r="R140" i="6"/>
  <c r="S63" i="6"/>
  <c r="S81" i="6" s="1"/>
  <c r="R81" i="6"/>
  <c r="S113" i="6"/>
  <c r="S117" i="6" s="1"/>
  <c r="R117" i="6"/>
  <c r="L117" i="6"/>
  <c r="S38" i="6"/>
  <c r="S238" i="6"/>
  <c r="R54" i="6"/>
  <c r="S48" i="6"/>
  <c r="S173" i="6"/>
  <c r="S180" i="6" s="1"/>
  <c r="R180" i="6"/>
  <c r="R237" i="6"/>
  <c r="S45" i="6"/>
  <c r="S46" i="6" s="1"/>
  <c r="R46" i="6"/>
  <c r="R182" i="6"/>
  <c r="S237" i="6"/>
  <c r="S146" i="6"/>
  <c r="S151" i="6" s="1"/>
  <c r="R151" i="6"/>
  <c r="L121" i="6"/>
  <c r="R119" i="6"/>
  <c r="R166" i="6"/>
  <c r="R164" i="6"/>
  <c r="S159" i="6"/>
  <c r="S164" i="6" s="1"/>
  <c r="R123" i="6"/>
  <c r="L153" i="6"/>
  <c r="L157" i="6" s="1"/>
  <c r="R111" i="6"/>
  <c r="S83" i="6"/>
  <c r="S111" i="6" s="1"/>
  <c r="S236" i="6"/>
  <c r="S27" i="6"/>
  <c r="R153" i="6"/>
  <c r="L164" i="6"/>
  <c r="L233" i="6" s="1"/>
  <c r="R238" i="6"/>
  <c r="S212" i="6"/>
  <c r="S215" i="6" s="1"/>
  <c r="R215" i="6"/>
  <c r="F127" i="5"/>
  <c r="E233" i="5"/>
  <c r="S14" i="5"/>
  <c r="R204" i="5"/>
  <c r="S204" i="5" s="1"/>
  <c r="G27" i="5"/>
  <c r="P164" i="5"/>
  <c r="R23" i="5"/>
  <c r="S23" i="5" s="1"/>
  <c r="N233" i="5"/>
  <c r="G182" i="5"/>
  <c r="L182" i="5" s="1"/>
  <c r="R182" i="5" s="1"/>
  <c r="S182" i="5" s="1"/>
  <c r="R26" i="5"/>
  <c r="S26" i="5" s="1"/>
  <c r="I119" i="5"/>
  <c r="L119" i="5" s="1"/>
  <c r="H27" i="5"/>
  <c r="H233" i="5" s="1"/>
  <c r="P38" i="5"/>
  <c r="G117" i="5"/>
  <c r="R110" i="5"/>
  <c r="S110" i="5" s="1"/>
  <c r="R93" i="5"/>
  <c r="S93" i="5" s="1"/>
  <c r="P180" i="5"/>
  <c r="R198" i="5"/>
  <c r="S198" i="5" s="1"/>
  <c r="R156" i="5"/>
  <c r="S156" i="5" s="1"/>
  <c r="O27" i="5"/>
  <c r="O233" i="5" s="1"/>
  <c r="F121" i="5"/>
  <c r="R169" i="5"/>
  <c r="S169" i="5" s="1"/>
  <c r="L173" i="5"/>
  <c r="R173" i="5" s="1"/>
  <c r="S173" i="5" s="1"/>
  <c r="L58" i="5"/>
  <c r="R58" i="5" s="1"/>
  <c r="S58" i="5" s="1"/>
  <c r="K56" i="5"/>
  <c r="K60" i="5" s="1"/>
  <c r="L203" i="5"/>
  <c r="R101" i="5"/>
  <c r="S101" i="5" s="1"/>
  <c r="N231" i="4"/>
  <c r="R187" i="4"/>
  <c r="S187" i="4" s="1"/>
  <c r="P189" i="4"/>
  <c r="K118" i="4"/>
  <c r="L118" i="4"/>
  <c r="R118" i="4" s="1"/>
  <c r="S118" i="4" s="1"/>
  <c r="I118" i="4"/>
  <c r="G117" i="4"/>
  <c r="F119" i="4"/>
  <c r="G62" i="4"/>
  <c r="K62" i="4" s="1"/>
  <c r="G77" i="4"/>
  <c r="I77" i="4" s="1"/>
  <c r="G131" i="4"/>
  <c r="E27" i="4"/>
  <c r="K17" i="4"/>
  <c r="R50" i="4"/>
  <c r="S50" i="4" s="1"/>
  <c r="E80" i="4"/>
  <c r="R141" i="4"/>
  <c r="S141" i="4" s="1"/>
  <c r="K145" i="4"/>
  <c r="R145" i="4" s="1"/>
  <c r="S145" i="4" s="1"/>
  <c r="P161" i="4"/>
  <c r="R161" i="4" s="1"/>
  <c r="S161" i="4" s="1"/>
  <c r="L165" i="4"/>
  <c r="R165" i="4" s="1"/>
  <c r="S165" i="4" s="1"/>
  <c r="L181" i="4"/>
  <c r="R181" i="4" s="1"/>
  <c r="S181" i="4" s="1"/>
  <c r="G204" i="4"/>
  <c r="R184" i="5"/>
  <c r="S184" i="5" s="1"/>
  <c r="R176" i="5"/>
  <c r="S176" i="5" s="1"/>
  <c r="L103" i="5"/>
  <c r="R103" i="5" s="1"/>
  <c r="S103" i="5" s="1"/>
  <c r="F183" i="4"/>
  <c r="G183" i="4" s="1"/>
  <c r="G223" i="4"/>
  <c r="H17" i="4"/>
  <c r="G15" i="4"/>
  <c r="G141" i="4"/>
  <c r="P141" i="4" s="1"/>
  <c r="P142" i="4" s="1"/>
  <c r="L145" i="4"/>
  <c r="E169" i="4"/>
  <c r="G226" i="4"/>
  <c r="E119" i="4"/>
  <c r="R177" i="5"/>
  <c r="S177" i="5" s="1"/>
  <c r="R89" i="5"/>
  <c r="S89" i="5" s="1"/>
  <c r="R194" i="5"/>
  <c r="S194" i="5" s="1"/>
  <c r="I196" i="5"/>
  <c r="L113" i="5"/>
  <c r="R113" i="5" s="1"/>
  <c r="S113" i="5" s="1"/>
  <c r="E234" i="4"/>
  <c r="C237" i="4"/>
  <c r="L161" i="5"/>
  <c r="R161" i="5" s="1"/>
  <c r="S161" i="5" s="1"/>
  <c r="R70" i="5"/>
  <c r="S70" i="5" s="1"/>
  <c r="R44" i="5"/>
  <c r="S44" i="5" s="1"/>
  <c r="P194" i="4"/>
  <c r="L183" i="4"/>
  <c r="L105" i="5"/>
  <c r="R105" i="5" s="1"/>
  <c r="S105" i="5" s="1"/>
  <c r="P176" i="4"/>
  <c r="P178" i="4" s="1"/>
  <c r="R227" i="5"/>
  <c r="R139" i="5"/>
  <c r="S139" i="5" s="1"/>
  <c r="I111" i="5"/>
  <c r="R52" i="5"/>
  <c r="S52" i="5" s="1"/>
  <c r="P169" i="4"/>
  <c r="P229" i="4"/>
  <c r="R229" i="4" s="1"/>
  <c r="S229" i="4" s="1"/>
  <c r="E45" i="4"/>
  <c r="G164" i="5"/>
  <c r="G34" i="4"/>
  <c r="J34" i="4" s="1"/>
  <c r="J37" i="4" s="1"/>
  <c r="F138" i="4"/>
  <c r="G159" i="5"/>
  <c r="K159" i="5" s="1"/>
  <c r="K164" i="5" s="1"/>
  <c r="R199" i="5"/>
  <c r="S199" i="5" s="1"/>
  <c r="K108" i="5"/>
  <c r="L108" i="5" s="1"/>
  <c r="R108" i="5" s="1"/>
  <c r="S108" i="5" s="1"/>
  <c r="I120" i="5"/>
  <c r="K120" i="5"/>
  <c r="K121" i="5" s="1"/>
  <c r="G121" i="5"/>
  <c r="K64" i="5"/>
  <c r="L99" i="5"/>
  <c r="R99" i="5" s="1"/>
  <c r="S99" i="5" s="1"/>
  <c r="K232" i="5"/>
  <c r="L230" i="5"/>
  <c r="L167" i="5"/>
  <c r="R167" i="5" s="1"/>
  <c r="S167" i="5" s="1"/>
  <c r="P221" i="5"/>
  <c r="I116" i="5"/>
  <c r="R116" i="5" s="1"/>
  <c r="S116" i="5" s="1"/>
  <c r="L130" i="5"/>
  <c r="R130" i="5" s="1"/>
  <c r="S130" i="5" s="1"/>
  <c r="F111" i="5"/>
  <c r="J35" i="5"/>
  <c r="J38" i="5" s="1"/>
  <c r="J233" i="5" s="1"/>
  <c r="I191" i="5"/>
  <c r="R189" i="5"/>
  <c r="S189" i="5" s="1"/>
  <c r="R73" i="5"/>
  <c r="S73" i="5" s="1"/>
  <c r="R72" i="5"/>
  <c r="S72" i="5" s="1"/>
  <c r="L107" i="5"/>
  <c r="R107" i="5" s="1"/>
  <c r="S107" i="5" s="1"/>
  <c r="R18" i="5"/>
  <c r="S18" i="5" s="1"/>
  <c r="L67" i="5"/>
  <c r="R67" i="5" s="1"/>
  <c r="S67" i="5" s="1"/>
  <c r="I232" i="5"/>
  <c r="R231" i="5"/>
  <c r="S231" i="5" s="1"/>
  <c r="K124" i="5"/>
  <c r="L124" i="5"/>
  <c r="R133" i="5"/>
  <c r="S133" i="5" s="1"/>
  <c r="K90" i="5"/>
  <c r="L90" i="5" s="1"/>
  <c r="G111" i="5"/>
  <c r="K83" i="5"/>
  <c r="R225" i="5"/>
  <c r="S225" i="5"/>
  <c r="R193" i="5"/>
  <c r="S193" i="5" s="1"/>
  <c r="G166" i="5"/>
  <c r="L154" i="5"/>
  <c r="R154" i="5" s="1"/>
  <c r="S154" i="5" s="1"/>
  <c r="I140" i="5"/>
  <c r="R136" i="5"/>
  <c r="S136" i="5" s="1"/>
  <c r="R219" i="5"/>
  <c r="S219" i="5" s="1"/>
  <c r="P151" i="5"/>
  <c r="R162" i="5"/>
  <c r="S162" i="5" s="1"/>
  <c r="K140" i="5"/>
  <c r="L77" i="5"/>
  <c r="R77" i="5" s="1"/>
  <c r="S77" i="5" s="1"/>
  <c r="G81" i="5"/>
  <c r="K63" i="5"/>
  <c r="L63" i="5" s="1"/>
  <c r="R138" i="5"/>
  <c r="S138" i="5" s="1"/>
  <c r="K151" i="5"/>
  <c r="L146" i="5"/>
  <c r="L142" i="5"/>
  <c r="L144" i="5" s="1"/>
  <c r="L100" i="5"/>
  <c r="R100" i="5" s="1"/>
  <c r="S100" i="5" s="1"/>
  <c r="P45" i="5"/>
  <c r="P46" i="5" s="1"/>
  <c r="I45" i="5"/>
  <c r="I46" i="5" s="1"/>
  <c r="G46" i="5"/>
  <c r="L54" i="5"/>
  <c r="R17" i="5"/>
  <c r="S17" i="5" s="1"/>
  <c r="L57" i="5"/>
  <c r="R57" i="5" s="1"/>
  <c r="S57" i="5" s="1"/>
  <c r="R59" i="5"/>
  <c r="S59" i="5" s="1"/>
  <c r="L215" i="5"/>
  <c r="R212" i="5"/>
  <c r="S212" i="5" s="1"/>
  <c r="E239" i="5"/>
  <c r="E241" i="5" s="1"/>
  <c r="F157" i="5"/>
  <c r="G157" i="5" s="1"/>
  <c r="G153" i="5"/>
  <c r="K174" i="5"/>
  <c r="K180" i="5" s="1"/>
  <c r="L218" i="5"/>
  <c r="R218" i="5" s="1"/>
  <c r="S218" i="5" s="1"/>
  <c r="L183" i="5"/>
  <c r="R183" i="5" s="1"/>
  <c r="S183" i="5" s="1"/>
  <c r="R147" i="5"/>
  <c r="S147" i="5" s="1"/>
  <c r="R148" i="5"/>
  <c r="S148" i="5" s="1"/>
  <c r="I151" i="5"/>
  <c r="I126" i="5"/>
  <c r="I127" i="5" s="1"/>
  <c r="R129" i="5"/>
  <c r="S129" i="5" s="1"/>
  <c r="L125" i="5"/>
  <c r="R125" i="5" s="1"/>
  <c r="S125" i="5" s="1"/>
  <c r="K115" i="5"/>
  <c r="K117" i="5" s="1"/>
  <c r="I115" i="5"/>
  <c r="I76" i="5"/>
  <c r="I81" i="5" s="1"/>
  <c r="K76" i="5"/>
  <c r="G123" i="5"/>
  <c r="P40" i="5"/>
  <c r="P41" i="5" s="1"/>
  <c r="R41" i="5" s="1"/>
  <c r="E233" i="4"/>
  <c r="E237" i="4" s="1"/>
  <c r="E239" i="4" s="1"/>
  <c r="C231" i="4"/>
  <c r="G67" i="4"/>
  <c r="K67" i="4" s="1"/>
  <c r="H25" i="4"/>
  <c r="R25" i="4" s="1"/>
  <c r="S25" i="4" s="1"/>
  <c r="G27" i="4"/>
  <c r="K94" i="4"/>
  <c r="L94" i="4" s="1"/>
  <c r="R94" i="4" s="1"/>
  <c r="S94" i="4" s="1"/>
  <c r="K103" i="4"/>
  <c r="L103" i="4" s="1"/>
  <c r="R103" i="4" s="1"/>
  <c r="S103" i="4" s="1"/>
  <c r="I105" i="4"/>
  <c r="H22" i="4"/>
  <c r="R22" i="4" s="1"/>
  <c r="S22" i="4" s="1"/>
  <c r="F55" i="4"/>
  <c r="G55" i="4" s="1"/>
  <c r="O23" i="4"/>
  <c r="H23" i="4"/>
  <c r="P32" i="4"/>
  <c r="R32" i="4" s="1"/>
  <c r="S32" i="4" s="1"/>
  <c r="H19" i="4"/>
  <c r="O26" i="4"/>
  <c r="H26" i="4"/>
  <c r="R18" i="4"/>
  <c r="S18" i="4" s="1"/>
  <c r="K27" i="4"/>
  <c r="R33" i="4"/>
  <c r="S33" i="4" s="1"/>
  <c r="K66" i="4"/>
  <c r="K73" i="4"/>
  <c r="L73" i="4" s="1"/>
  <c r="K89" i="4"/>
  <c r="L89" i="4" s="1"/>
  <c r="R89" i="4" s="1"/>
  <c r="S89" i="4" s="1"/>
  <c r="K92" i="4"/>
  <c r="K98" i="4"/>
  <c r="L98" i="4" s="1"/>
  <c r="R98" i="4" s="1"/>
  <c r="S98" i="4" s="1"/>
  <c r="R14" i="4"/>
  <c r="S14" i="4" s="1"/>
  <c r="H21" i="4"/>
  <c r="R21" i="4" s="1"/>
  <c r="S21" i="4" s="1"/>
  <c r="H24" i="4"/>
  <c r="R24" i="4" s="1"/>
  <c r="S24" i="4" s="1"/>
  <c r="R29" i="4"/>
  <c r="S29" i="4" s="1"/>
  <c r="P30" i="4"/>
  <c r="R30" i="4" s="1"/>
  <c r="S30" i="4" s="1"/>
  <c r="E37" i="4"/>
  <c r="G37" i="4" s="1"/>
  <c r="E40" i="4"/>
  <c r="G40" i="4" s="1"/>
  <c r="G39" i="4"/>
  <c r="R48" i="4"/>
  <c r="S48" i="4" s="1"/>
  <c r="L48" i="4"/>
  <c r="G59" i="4"/>
  <c r="K55" i="4"/>
  <c r="K57" i="4"/>
  <c r="L57" i="4" s="1"/>
  <c r="R64" i="4"/>
  <c r="S64" i="4" s="1"/>
  <c r="R68" i="4"/>
  <c r="S68" i="4" s="1"/>
  <c r="R70" i="4"/>
  <c r="S70" i="4" s="1"/>
  <c r="R72" i="4"/>
  <c r="S72" i="4" s="1"/>
  <c r="K102" i="4"/>
  <c r="L102" i="4" s="1"/>
  <c r="K84" i="4"/>
  <c r="L84" i="4" s="1"/>
  <c r="P108" i="4"/>
  <c r="I108" i="4"/>
  <c r="E236" i="4"/>
  <c r="R31" i="4"/>
  <c r="S31" i="4" s="1"/>
  <c r="R34" i="4"/>
  <c r="S34" i="4" s="1"/>
  <c r="R35" i="4"/>
  <c r="S35" i="4" s="1"/>
  <c r="P36" i="4"/>
  <c r="R36" i="4" s="1"/>
  <c r="S36" i="4" s="1"/>
  <c r="R56" i="4"/>
  <c r="S56" i="4" s="1"/>
  <c r="K69" i="4"/>
  <c r="K71" i="4"/>
  <c r="K88" i="4"/>
  <c r="L88" i="4" s="1"/>
  <c r="R88" i="4" s="1"/>
  <c r="S88" i="4" s="1"/>
  <c r="K91" i="4"/>
  <c r="L91" i="4" s="1"/>
  <c r="P43" i="4"/>
  <c r="G44" i="4"/>
  <c r="G45" i="4" s="1"/>
  <c r="L47" i="4"/>
  <c r="P51" i="4"/>
  <c r="P53" i="4" s="1"/>
  <c r="K52" i="4"/>
  <c r="K53" i="4" s="1"/>
  <c r="L62" i="4"/>
  <c r="G63" i="4"/>
  <c r="G80" i="4" s="1"/>
  <c r="L65" i="4"/>
  <c r="R65" i="4" s="1"/>
  <c r="S65" i="4" s="1"/>
  <c r="L67" i="4"/>
  <c r="R67" i="4" s="1"/>
  <c r="R74" i="4"/>
  <c r="S74" i="4" s="1"/>
  <c r="I75" i="4"/>
  <c r="K76" i="4"/>
  <c r="P78" i="4"/>
  <c r="R78" i="4" s="1"/>
  <c r="S78" i="4" s="1"/>
  <c r="P79" i="4"/>
  <c r="R79" i="4" s="1"/>
  <c r="S79" i="4" s="1"/>
  <c r="K82" i="4"/>
  <c r="L82" i="4" s="1"/>
  <c r="K85" i="4"/>
  <c r="L85" i="4" s="1"/>
  <c r="R85" i="4" s="1"/>
  <c r="S85" i="4" s="1"/>
  <c r="R93" i="4"/>
  <c r="S93" i="4" s="1"/>
  <c r="K95" i="4"/>
  <c r="K99" i="4"/>
  <c r="L99" i="4" s="1"/>
  <c r="R99" i="4" s="1"/>
  <c r="S99" i="4" s="1"/>
  <c r="K100" i="4"/>
  <c r="L100" i="4" s="1"/>
  <c r="R100" i="4" s="1"/>
  <c r="S100" i="4" s="1"/>
  <c r="K101" i="4"/>
  <c r="L101" i="4" s="1"/>
  <c r="G113" i="4"/>
  <c r="F113" i="4"/>
  <c r="F114" i="4"/>
  <c r="G114" i="4" s="1"/>
  <c r="E115" i="4"/>
  <c r="G123" i="4"/>
  <c r="G127" i="4"/>
  <c r="K128" i="4"/>
  <c r="L128" i="4" s="1"/>
  <c r="R128" i="4" s="1"/>
  <c r="S128" i="4" s="1"/>
  <c r="K135" i="4"/>
  <c r="L135" i="4" s="1"/>
  <c r="E149" i="4"/>
  <c r="G149" i="4" s="1"/>
  <c r="G144" i="4"/>
  <c r="R147" i="4"/>
  <c r="S147" i="4" s="1"/>
  <c r="F162" i="4"/>
  <c r="G157" i="4"/>
  <c r="R180" i="4"/>
  <c r="S180" i="4" s="1"/>
  <c r="R47" i="4"/>
  <c r="S47" i="4" s="1"/>
  <c r="E53" i="4"/>
  <c r="F59" i="4"/>
  <c r="R62" i="4"/>
  <c r="S62" i="4" s="1"/>
  <c r="K75" i="4"/>
  <c r="E109" i="4"/>
  <c r="K111" i="4"/>
  <c r="I111" i="4"/>
  <c r="F125" i="4"/>
  <c r="G122" i="4"/>
  <c r="F122" i="4"/>
  <c r="P137" i="4"/>
  <c r="P138" i="4" s="1"/>
  <c r="I137" i="4"/>
  <c r="I138" i="4" s="1"/>
  <c r="P149" i="4"/>
  <c r="K152" i="4"/>
  <c r="L152" i="4" s="1"/>
  <c r="R152" i="4" s="1"/>
  <c r="S152" i="4" s="1"/>
  <c r="G158" i="4"/>
  <c r="E162" i="4"/>
  <c r="G162" i="4" s="1"/>
  <c r="L175" i="4"/>
  <c r="R175" i="4" s="1"/>
  <c r="S175" i="4" s="1"/>
  <c r="G53" i="4"/>
  <c r="G87" i="4"/>
  <c r="K97" i="4"/>
  <c r="L97" i="4" s="1"/>
  <c r="L105" i="4"/>
  <c r="R105" i="4" s="1"/>
  <c r="S105" i="4" s="1"/>
  <c r="F106" i="4"/>
  <c r="F109" i="4" s="1"/>
  <c r="P107" i="4"/>
  <c r="K112" i="4"/>
  <c r="L112" i="4" s="1"/>
  <c r="G121" i="4"/>
  <c r="G124" i="4"/>
  <c r="P124" i="4"/>
  <c r="P125" i="4" s="1"/>
  <c r="F124" i="4"/>
  <c r="L166" i="4"/>
  <c r="R166" i="4" s="1"/>
  <c r="S166" i="4" s="1"/>
  <c r="J43" i="4"/>
  <c r="J45" i="4" s="1"/>
  <c r="K104" i="4"/>
  <c r="K131" i="4"/>
  <c r="L136" i="4"/>
  <c r="R136" i="4" s="1"/>
  <c r="S136" i="4" s="1"/>
  <c r="K159" i="4"/>
  <c r="L159" i="4" s="1"/>
  <c r="R159" i="4" s="1"/>
  <c r="S159" i="4" s="1"/>
  <c r="P211" i="4"/>
  <c r="P213" i="4" s="1"/>
  <c r="I211" i="4"/>
  <c r="I213" i="4" s="1"/>
  <c r="L225" i="4"/>
  <c r="L226" i="4" s="1"/>
  <c r="K225" i="4"/>
  <c r="K226" i="4" s="1"/>
  <c r="P230" i="4"/>
  <c r="I183" i="4"/>
  <c r="R182" i="4"/>
  <c r="S182" i="4" s="1"/>
  <c r="K201" i="4"/>
  <c r="K204" i="4" s="1"/>
  <c r="K208" i="4"/>
  <c r="K223" i="4"/>
  <c r="L221" i="4"/>
  <c r="L223" i="4" s="1"/>
  <c r="E125" i="4"/>
  <c r="E142" i="4"/>
  <c r="E155" i="4"/>
  <c r="R192" i="4"/>
  <c r="S192" i="4" s="1"/>
  <c r="P202" i="4"/>
  <c r="P204" i="4" s="1"/>
  <c r="I202" i="4"/>
  <c r="K230" i="4"/>
  <c r="K132" i="4"/>
  <c r="L132" i="4" s="1"/>
  <c r="L133" i="4"/>
  <c r="R133" i="4" s="1"/>
  <c r="S133" i="4" s="1"/>
  <c r="L134" i="4"/>
  <c r="R134" i="4" s="1"/>
  <c r="S134" i="4" s="1"/>
  <c r="K140" i="4"/>
  <c r="G142" i="4"/>
  <c r="I146" i="4"/>
  <c r="I149" i="4" s="1"/>
  <c r="R148" i="4"/>
  <c r="S148" i="4" s="1"/>
  <c r="F151" i="4"/>
  <c r="F155" i="4" s="1"/>
  <c r="L153" i="4"/>
  <c r="R153" i="4" s="1"/>
  <c r="S153" i="4" s="1"/>
  <c r="P154" i="4"/>
  <c r="R172" i="4"/>
  <c r="S172" i="4" s="1"/>
  <c r="S189" i="4"/>
  <c r="P222" i="4"/>
  <c r="P223" i="4" s="1"/>
  <c r="I222" i="4"/>
  <c r="I223" i="4" s="1"/>
  <c r="I219" i="4"/>
  <c r="K219" i="4"/>
  <c r="P160" i="4"/>
  <c r="G164" i="4"/>
  <c r="R167" i="4"/>
  <c r="S167" i="4" s="1"/>
  <c r="R168" i="4"/>
  <c r="S168" i="4" s="1"/>
  <c r="G171" i="4"/>
  <c r="R173" i="4"/>
  <c r="S173" i="4" s="1"/>
  <c r="L174" i="4"/>
  <c r="R174" i="4" s="1"/>
  <c r="S174" i="4" s="1"/>
  <c r="R177" i="4"/>
  <c r="S177" i="4" s="1"/>
  <c r="E178" i="4"/>
  <c r="G178" i="4" s="1"/>
  <c r="L186" i="4"/>
  <c r="L189" i="4" s="1"/>
  <c r="L191" i="4"/>
  <c r="K196" i="4"/>
  <c r="I197" i="4"/>
  <c r="L210" i="4"/>
  <c r="L213" i="4" s="1"/>
  <c r="I217" i="4"/>
  <c r="E219" i="4"/>
  <c r="G219" i="4" s="1"/>
  <c r="R207" i="4"/>
  <c r="S207" i="4" s="1"/>
  <c r="L216" i="4"/>
  <c r="L219" i="4" s="1"/>
  <c r="R217" i="4"/>
  <c r="S217" i="4" s="1"/>
  <c r="R218" i="4"/>
  <c r="S218" i="4" s="1"/>
  <c r="L228" i="4"/>
  <c r="L230" i="4" s="1"/>
  <c r="S217" i="3"/>
  <c r="S211" i="3"/>
  <c r="S202" i="3"/>
  <c r="S199" i="3"/>
  <c r="S182" i="3"/>
  <c r="S35" i="3"/>
  <c r="C231" i="3"/>
  <c r="Q232" i="3"/>
  <c r="C232" i="3"/>
  <c r="Q231" i="3"/>
  <c r="Q230" i="3"/>
  <c r="C230" i="3"/>
  <c r="Q229" i="3"/>
  <c r="C229" i="3"/>
  <c r="F226" i="3"/>
  <c r="E226" i="3"/>
  <c r="G226" i="3" s="1"/>
  <c r="C226" i="3"/>
  <c r="G225" i="3"/>
  <c r="I225" i="3" s="1"/>
  <c r="G224" i="3"/>
  <c r="F222" i="3"/>
  <c r="E222" i="3"/>
  <c r="C222" i="3"/>
  <c r="G221" i="3"/>
  <c r="F219" i="3"/>
  <c r="E219" i="3"/>
  <c r="G219" i="3" s="1"/>
  <c r="C219" i="3"/>
  <c r="G218" i="3"/>
  <c r="P218" i="3" s="1"/>
  <c r="P219" i="3" s="1"/>
  <c r="G217" i="3"/>
  <c r="K217" i="3" s="1"/>
  <c r="F215" i="3"/>
  <c r="C215" i="3"/>
  <c r="E214" i="3"/>
  <c r="G213" i="3"/>
  <c r="I213" i="3" s="1"/>
  <c r="G212" i="3"/>
  <c r="I212" i="3" s="1"/>
  <c r="G211" i="3"/>
  <c r="K211" i="3" s="1"/>
  <c r="F209" i="3"/>
  <c r="E209" i="3"/>
  <c r="C209" i="3"/>
  <c r="G208" i="3"/>
  <c r="P208" i="3" s="1"/>
  <c r="R208" i="3" s="1"/>
  <c r="S208" i="3" s="1"/>
  <c r="G207" i="3"/>
  <c r="P207" i="3" s="1"/>
  <c r="K206" i="3"/>
  <c r="K209" i="3" s="1"/>
  <c r="G206" i="3"/>
  <c r="F204" i="3"/>
  <c r="E204" i="3"/>
  <c r="C204" i="3"/>
  <c r="G203" i="3"/>
  <c r="P203" i="3" s="1"/>
  <c r="P204" i="3" s="1"/>
  <c r="G202" i="3"/>
  <c r="K202" i="3" s="1"/>
  <c r="K204" i="3" s="1"/>
  <c r="F200" i="3"/>
  <c r="E200" i="3"/>
  <c r="C200" i="3"/>
  <c r="G199" i="3"/>
  <c r="P199" i="3" s="1"/>
  <c r="R199" i="3" s="1"/>
  <c r="G198" i="3"/>
  <c r="P198" i="3" s="1"/>
  <c r="G197" i="3"/>
  <c r="F195" i="3"/>
  <c r="E195" i="3"/>
  <c r="C195" i="3"/>
  <c r="G194" i="3"/>
  <c r="P194" i="3" s="1"/>
  <c r="R194" i="3" s="1"/>
  <c r="S194" i="3" s="1"/>
  <c r="G193" i="3"/>
  <c r="P193" i="3" s="1"/>
  <c r="P195" i="3" s="1"/>
  <c r="G192" i="3"/>
  <c r="E190" i="3"/>
  <c r="G190" i="3" s="1"/>
  <c r="C190" i="3"/>
  <c r="G189" i="3"/>
  <c r="P189" i="3" s="1"/>
  <c r="R189" i="3" s="1"/>
  <c r="S189" i="3" s="1"/>
  <c r="G188" i="3"/>
  <c r="G187" i="3"/>
  <c r="K187" i="3" s="1"/>
  <c r="E185" i="3"/>
  <c r="G185" i="3" s="1"/>
  <c r="C185" i="3"/>
  <c r="G184" i="3"/>
  <c r="P184" i="3" s="1"/>
  <c r="R184" i="3" s="1"/>
  <c r="S184" i="3" s="1"/>
  <c r="I183" i="3"/>
  <c r="I185" i="3" s="1"/>
  <c r="G183" i="3"/>
  <c r="P183" i="3" s="1"/>
  <c r="G182" i="3"/>
  <c r="K182" i="3" s="1"/>
  <c r="K185" i="3" s="1"/>
  <c r="M179" i="3"/>
  <c r="C179" i="3"/>
  <c r="G178" i="3"/>
  <c r="I178" i="3" s="1"/>
  <c r="I179" i="3" s="1"/>
  <c r="G177" i="3"/>
  <c r="E176" i="3"/>
  <c r="E179" i="3" s="1"/>
  <c r="O174" i="3"/>
  <c r="C174" i="3"/>
  <c r="P173" i="3"/>
  <c r="R173" i="3" s="1"/>
  <c r="S173" i="3" s="1"/>
  <c r="G173" i="3"/>
  <c r="G172" i="3"/>
  <c r="P172" i="3" s="1"/>
  <c r="E171" i="3"/>
  <c r="G170" i="3"/>
  <c r="K170" i="3" s="1"/>
  <c r="G169" i="3"/>
  <c r="E168" i="3"/>
  <c r="G168" i="3" s="1"/>
  <c r="F167" i="3"/>
  <c r="F174" i="3" s="1"/>
  <c r="O165" i="3"/>
  <c r="C165" i="3"/>
  <c r="P164" i="3"/>
  <c r="R164" i="3" s="1"/>
  <c r="S164" i="3" s="1"/>
  <c r="G164" i="3"/>
  <c r="G163" i="3"/>
  <c r="I163" i="3" s="1"/>
  <c r="G162" i="3"/>
  <c r="K162" i="3" s="1"/>
  <c r="G161" i="3"/>
  <c r="E160" i="3"/>
  <c r="F160" i="3" s="1"/>
  <c r="F165" i="3" s="1"/>
  <c r="O158" i="3"/>
  <c r="M158" i="3"/>
  <c r="C158" i="3"/>
  <c r="G157" i="3"/>
  <c r="P157" i="3" s="1"/>
  <c r="G156" i="3"/>
  <c r="P156" i="3" s="1"/>
  <c r="K155" i="3"/>
  <c r="E155" i="3"/>
  <c r="G155" i="3" s="1"/>
  <c r="E154" i="3"/>
  <c r="G154" i="3" s="1"/>
  <c r="E153" i="3"/>
  <c r="F153" i="3" s="1"/>
  <c r="F158" i="3" s="1"/>
  <c r="O151" i="3"/>
  <c r="M151" i="3"/>
  <c r="C151" i="3"/>
  <c r="I150" i="3"/>
  <c r="I151" i="3" s="1"/>
  <c r="G150" i="3"/>
  <c r="P150" i="3" s="1"/>
  <c r="P151" i="3" s="1"/>
  <c r="G149" i="3"/>
  <c r="E148" i="3"/>
  <c r="G148" i="3" s="1"/>
  <c r="E147" i="3"/>
  <c r="F147" i="3" s="1"/>
  <c r="C145" i="3"/>
  <c r="G144" i="3"/>
  <c r="P144" i="3" s="1"/>
  <c r="E143" i="3"/>
  <c r="P142" i="3"/>
  <c r="I142" i="3"/>
  <c r="G142" i="3"/>
  <c r="G141" i="3"/>
  <c r="K141" i="3" s="1"/>
  <c r="L141" i="3" s="1"/>
  <c r="E140" i="3"/>
  <c r="F140" i="3" s="1"/>
  <c r="C138" i="3"/>
  <c r="N137" i="3"/>
  <c r="E137" i="3"/>
  <c r="G137" i="3" s="1"/>
  <c r="P137" i="3" s="1"/>
  <c r="P138" i="3" s="1"/>
  <c r="N136" i="3"/>
  <c r="N138" i="3" s="1"/>
  <c r="G136" i="3"/>
  <c r="K136" i="3" s="1"/>
  <c r="K138" i="3" s="1"/>
  <c r="E136" i="3"/>
  <c r="O134" i="3"/>
  <c r="M134" i="3"/>
  <c r="C134" i="3"/>
  <c r="E133" i="3"/>
  <c r="G133" i="3" s="1"/>
  <c r="G132" i="3"/>
  <c r="K132" i="3" s="1"/>
  <c r="G131" i="3"/>
  <c r="E130" i="3"/>
  <c r="G130" i="3" s="1"/>
  <c r="G129" i="3"/>
  <c r="K129" i="3" s="1"/>
  <c r="G128" i="3"/>
  <c r="E127" i="3"/>
  <c r="F124" i="3"/>
  <c r="G124" i="3" s="1"/>
  <c r="F123" i="3"/>
  <c r="C121" i="3"/>
  <c r="N120" i="3"/>
  <c r="E120" i="3"/>
  <c r="P120" i="3" s="1"/>
  <c r="P121" i="3" s="1"/>
  <c r="N119" i="3"/>
  <c r="N121" i="3" s="1"/>
  <c r="E119" i="3"/>
  <c r="F119" i="3" s="1"/>
  <c r="E118" i="3"/>
  <c r="F118" i="3" s="1"/>
  <c r="G118" i="3" s="1"/>
  <c r="K118" i="3" s="1"/>
  <c r="E117" i="3"/>
  <c r="F117" i="3" s="1"/>
  <c r="C115" i="3"/>
  <c r="E114" i="3"/>
  <c r="P114" i="3" s="1"/>
  <c r="P115" i="3" s="1"/>
  <c r="E113" i="3"/>
  <c r="E115" i="3" s="1"/>
  <c r="F112" i="3"/>
  <c r="G112" i="3" s="1"/>
  <c r="F111" i="3"/>
  <c r="C109" i="3"/>
  <c r="E108" i="3"/>
  <c r="G108" i="3" s="1"/>
  <c r="G107" i="3"/>
  <c r="P107" i="3" s="1"/>
  <c r="E106" i="3"/>
  <c r="F106" i="3" s="1"/>
  <c r="G106" i="3" s="1"/>
  <c r="K106" i="3" s="1"/>
  <c r="E105" i="3"/>
  <c r="G105" i="3" s="1"/>
  <c r="E104" i="3"/>
  <c r="G104" i="3" s="1"/>
  <c r="K104" i="3" s="1"/>
  <c r="G103" i="3"/>
  <c r="K103" i="3" s="1"/>
  <c r="F102" i="3"/>
  <c r="G102" i="3" s="1"/>
  <c r="E101" i="3"/>
  <c r="G101" i="3" s="1"/>
  <c r="G100" i="3"/>
  <c r="K100" i="3" s="1"/>
  <c r="E99" i="3"/>
  <c r="G99" i="3" s="1"/>
  <c r="E98" i="3"/>
  <c r="G98" i="3" s="1"/>
  <c r="K98" i="3" s="1"/>
  <c r="G97" i="3"/>
  <c r="K97" i="3" s="1"/>
  <c r="G96" i="3"/>
  <c r="G95" i="3"/>
  <c r="K95" i="3" s="1"/>
  <c r="G94" i="3"/>
  <c r="K94" i="3" s="1"/>
  <c r="L94" i="3" s="1"/>
  <c r="G93" i="3"/>
  <c r="E92" i="3"/>
  <c r="G92" i="3" s="1"/>
  <c r="F91" i="3"/>
  <c r="G91" i="3" s="1"/>
  <c r="K91" i="3" s="1"/>
  <c r="L91" i="3" s="1"/>
  <c r="G90" i="3"/>
  <c r="E89" i="3"/>
  <c r="F88" i="3"/>
  <c r="G88" i="3" s="1"/>
  <c r="E87" i="3"/>
  <c r="G87" i="3" s="1"/>
  <c r="G86" i="3"/>
  <c r="G85" i="3"/>
  <c r="K85" i="3" s="1"/>
  <c r="F84" i="3"/>
  <c r="G84" i="3" s="1"/>
  <c r="K84" i="3" s="1"/>
  <c r="L84" i="3" s="1"/>
  <c r="G83" i="3"/>
  <c r="F82" i="3"/>
  <c r="G82" i="3" s="1"/>
  <c r="K82" i="3" s="1"/>
  <c r="C80" i="3"/>
  <c r="G79" i="3"/>
  <c r="P79" i="3" s="1"/>
  <c r="R79" i="3" s="1"/>
  <c r="S79" i="3" s="1"/>
  <c r="G78" i="3"/>
  <c r="P78" i="3" s="1"/>
  <c r="R78" i="3" s="1"/>
  <c r="S78" i="3" s="1"/>
  <c r="N77" i="3"/>
  <c r="E77" i="3"/>
  <c r="E231" i="3" s="1"/>
  <c r="K76" i="3"/>
  <c r="G76" i="3"/>
  <c r="I76" i="3" s="1"/>
  <c r="N75" i="3"/>
  <c r="E75" i="3"/>
  <c r="F74" i="3"/>
  <c r="G74" i="3" s="1"/>
  <c r="K74" i="3" s="1"/>
  <c r="R74" i="3" s="1"/>
  <c r="S74" i="3" s="1"/>
  <c r="E73" i="3"/>
  <c r="G73" i="3" s="1"/>
  <c r="N72" i="3"/>
  <c r="E72" i="3"/>
  <c r="G72" i="3" s="1"/>
  <c r="E71" i="3"/>
  <c r="G71" i="3" s="1"/>
  <c r="E70" i="3"/>
  <c r="G70" i="3" s="1"/>
  <c r="E69" i="3"/>
  <c r="G69" i="3" s="1"/>
  <c r="K69" i="3" s="1"/>
  <c r="E68" i="3"/>
  <c r="G68" i="3" s="1"/>
  <c r="N67" i="3"/>
  <c r="E67" i="3"/>
  <c r="G67" i="3" s="1"/>
  <c r="K67" i="3" s="1"/>
  <c r="E66" i="3"/>
  <c r="G66" i="3" s="1"/>
  <c r="G65" i="3"/>
  <c r="K65" i="3" s="1"/>
  <c r="G64" i="3"/>
  <c r="K64" i="3" s="1"/>
  <c r="E63" i="3"/>
  <c r="G63" i="3" s="1"/>
  <c r="F62" i="3"/>
  <c r="F80" i="3" s="1"/>
  <c r="Q59" i="3"/>
  <c r="E59" i="3"/>
  <c r="G58" i="3"/>
  <c r="P58" i="3" s="1"/>
  <c r="P59" i="3" s="1"/>
  <c r="F57" i="3"/>
  <c r="G57" i="3" s="1"/>
  <c r="K57" i="3" s="1"/>
  <c r="F56" i="3"/>
  <c r="G56" i="3" s="1"/>
  <c r="K56" i="3" s="1"/>
  <c r="F55" i="3"/>
  <c r="E55" i="3"/>
  <c r="C53" i="3"/>
  <c r="G52" i="3"/>
  <c r="K52" i="3" s="1"/>
  <c r="L52" i="3" s="1"/>
  <c r="R52" i="3" s="1"/>
  <c r="S52" i="3" s="1"/>
  <c r="G51" i="3"/>
  <c r="O50" i="3"/>
  <c r="O53" i="3" s="1"/>
  <c r="K49" i="3"/>
  <c r="L49" i="3" s="1"/>
  <c r="R49" i="3" s="1"/>
  <c r="S49" i="3" s="1"/>
  <c r="E48" i="3"/>
  <c r="G48" i="3" s="1"/>
  <c r="L48" i="3" s="1"/>
  <c r="R48" i="3" s="1"/>
  <c r="S48" i="3" s="1"/>
  <c r="E47" i="3"/>
  <c r="G47" i="3" s="1"/>
  <c r="K47" i="3" s="1"/>
  <c r="C45" i="3"/>
  <c r="E44" i="3"/>
  <c r="G44" i="3" s="1"/>
  <c r="E43" i="3"/>
  <c r="E45" i="3" s="1"/>
  <c r="P42" i="3"/>
  <c r="R42" i="3" s="1"/>
  <c r="S42" i="3" s="1"/>
  <c r="C40" i="3"/>
  <c r="E39" i="3"/>
  <c r="G39" i="3" s="1"/>
  <c r="P39" i="3" s="1"/>
  <c r="P40" i="3" s="1"/>
  <c r="I37" i="3"/>
  <c r="C37" i="3"/>
  <c r="G36" i="3"/>
  <c r="P36" i="3" s="1"/>
  <c r="R36" i="3" s="1"/>
  <c r="S36" i="3" s="1"/>
  <c r="G35" i="3"/>
  <c r="P35" i="3" s="1"/>
  <c r="R35" i="3" s="1"/>
  <c r="P34" i="3"/>
  <c r="F34" i="3"/>
  <c r="F37" i="3" s="1"/>
  <c r="E33" i="3"/>
  <c r="G33" i="3" s="1"/>
  <c r="E32" i="3"/>
  <c r="G31" i="3"/>
  <c r="P31" i="3" s="1"/>
  <c r="R31" i="3" s="1"/>
  <c r="S31" i="3" s="1"/>
  <c r="G30" i="3"/>
  <c r="P30" i="3" s="1"/>
  <c r="R30" i="3" s="1"/>
  <c r="S30" i="3" s="1"/>
  <c r="G29" i="3"/>
  <c r="P29" i="3" s="1"/>
  <c r="C27" i="3"/>
  <c r="E26" i="3"/>
  <c r="G26" i="3" s="1"/>
  <c r="O25" i="3"/>
  <c r="G25" i="3"/>
  <c r="H25" i="3" s="1"/>
  <c r="G24" i="3"/>
  <c r="O24" i="3" s="1"/>
  <c r="G23" i="3"/>
  <c r="E23" i="3"/>
  <c r="G22" i="3"/>
  <c r="H22" i="3" s="1"/>
  <c r="G21" i="3"/>
  <c r="O21" i="3" s="1"/>
  <c r="G20" i="3"/>
  <c r="O19" i="3"/>
  <c r="E19" i="3"/>
  <c r="G19" i="3" s="1"/>
  <c r="E18" i="3"/>
  <c r="G18" i="3" s="1"/>
  <c r="G17" i="3"/>
  <c r="O17" i="3" s="1"/>
  <c r="E16" i="3"/>
  <c r="R16" i="3" s="1"/>
  <c r="S16" i="3" s="1"/>
  <c r="E15" i="3"/>
  <c r="O14" i="3"/>
  <c r="M14" i="3"/>
  <c r="M27" i="3" s="1"/>
  <c r="M227" i="3" s="1"/>
  <c r="S38" i="16" l="1"/>
  <c r="S116" i="16"/>
  <c r="R116" i="16"/>
  <c r="L232" i="16"/>
  <c r="R61" i="16"/>
  <c r="S110" i="16"/>
  <c r="R110" i="16"/>
  <c r="R235" i="16"/>
  <c r="S235" i="16"/>
  <c r="S238" i="16"/>
  <c r="S126" i="16"/>
  <c r="R126" i="16"/>
  <c r="R238" i="16"/>
  <c r="S235" i="14"/>
  <c r="S184" i="14"/>
  <c r="S120" i="14"/>
  <c r="R120" i="14"/>
  <c r="S38" i="14"/>
  <c r="S237" i="14"/>
  <c r="S150" i="14"/>
  <c r="R150" i="14"/>
  <c r="S126" i="14"/>
  <c r="R126" i="14"/>
  <c r="S110" i="14"/>
  <c r="R110" i="14"/>
  <c r="R234" i="14"/>
  <c r="R238" i="14" s="1"/>
  <c r="R232" i="14"/>
  <c r="S236" i="13"/>
  <c r="R150" i="13"/>
  <c r="S150" i="13"/>
  <c r="L81" i="13"/>
  <c r="L232" i="13" s="1"/>
  <c r="R63" i="13"/>
  <c r="S63" i="13" s="1"/>
  <c r="R116" i="13"/>
  <c r="R170" i="13"/>
  <c r="S170" i="13"/>
  <c r="S235" i="13"/>
  <c r="R235" i="12"/>
  <c r="R239" i="12" s="1"/>
  <c r="R180" i="12"/>
  <c r="S180" i="12"/>
  <c r="R171" i="12"/>
  <c r="S171" i="12"/>
  <c r="S38" i="12"/>
  <c r="S238" i="12"/>
  <c r="R151" i="12"/>
  <c r="S151" i="12"/>
  <c r="S236" i="12"/>
  <c r="S235" i="12"/>
  <c r="S54" i="12"/>
  <c r="S140" i="12"/>
  <c r="R140" i="12"/>
  <c r="R164" i="10"/>
  <c r="S164" i="10"/>
  <c r="R235" i="10"/>
  <c r="R239" i="10" s="1"/>
  <c r="S81" i="10"/>
  <c r="R81" i="10"/>
  <c r="R140" i="10"/>
  <c r="S140" i="10"/>
  <c r="S121" i="10"/>
  <c r="R121" i="10"/>
  <c r="S60" i="10"/>
  <c r="R127" i="10"/>
  <c r="S127" i="10"/>
  <c r="S236" i="10"/>
  <c r="S238" i="10"/>
  <c r="L157" i="9"/>
  <c r="R153" i="9"/>
  <c r="R127" i="9"/>
  <c r="S127" i="9"/>
  <c r="S121" i="9"/>
  <c r="R121" i="9"/>
  <c r="R81" i="9"/>
  <c r="R235" i="9"/>
  <c r="R239" i="9" s="1"/>
  <c r="S221" i="9"/>
  <c r="S236" i="9"/>
  <c r="L233" i="9"/>
  <c r="S111" i="9"/>
  <c r="R151" i="8"/>
  <c r="R233" i="8" s="1"/>
  <c r="S151" i="8"/>
  <c r="R121" i="8"/>
  <c r="S121" i="8"/>
  <c r="S236" i="8"/>
  <c r="S60" i="7"/>
  <c r="R151" i="7"/>
  <c r="S151" i="7"/>
  <c r="R180" i="7"/>
  <c r="S180" i="7"/>
  <c r="L127" i="7"/>
  <c r="L233" i="7" s="1"/>
  <c r="R123" i="7"/>
  <c r="R90" i="7"/>
  <c r="R121" i="7"/>
  <c r="S121" i="7"/>
  <c r="R117" i="7"/>
  <c r="S117" i="7"/>
  <c r="R140" i="7"/>
  <c r="S54" i="6"/>
  <c r="S153" i="6"/>
  <c r="S157" i="6" s="1"/>
  <c r="R157" i="6"/>
  <c r="R185" i="6"/>
  <c r="S182" i="6"/>
  <c r="S185" i="6" s="1"/>
  <c r="R235" i="6"/>
  <c r="R239" i="6" s="1"/>
  <c r="R171" i="6"/>
  <c r="S166" i="6"/>
  <c r="S171" i="6" s="1"/>
  <c r="R121" i="6"/>
  <c r="S119" i="6"/>
  <c r="S121" i="6" s="1"/>
  <c r="S123" i="6"/>
  <c r="S127" i="6" s="1"/>
  <c r="S233" i="6" s="1"/>
  <c r="E242" i="6" s="1"/>
  <c r="R127" i="6"/>
  <c r="R233" i="6" s="1"/>
  <c r="S227" i="5"/>
  <c r="S228" i="5" s="1"/>
  <c r="L140" i="5"/>
  <c r="I117" i="5"/>
  <c r="R228" i="5"/>
  <c r="L174" i="5"/>
  <c r="L180" i="5" s="1"/>
  <c r="R35" i="5"/>
  <c r="R238" i="5" s="1"/>
  <c r="S201" i="5"/>
  <c r="L56" i="5"/>
  <c r="R56" i="5" s="1"/>
  <c r="S56" i="5" s="1"/>
  <c r="L185" i="5"/>
  <c r="L221" i="5"/>
  <c r="L120" i="5"/>
  <c r="R120" i="5" s="1"/>
  <c r="S120" i="5" s="1"/>
  <c r="R201" i="5"/>
  <c r="I121" i="5"/>
  <c r="R54" i="5"/>
  <c r="R203" i="5"/>
  <c r="S203" i="5" s="1"/>
  <c r="L206" i="5"/>
  <c r="L76" i="5"/>
  <c r="R76" i="5" s="1"/>
  <c r="S76" i="5" s="1"/>
  <c r="L64" i="5"/>
  <c r="F231" i="4"/>
  <c r="S185" i="3"/>
  <c r="Q233" i="3"/>
  <c r="L115" i="5"/>
  <c r="L117" i="5" s="1"/>
  <c r="P233" i="5"/>
  <c r="L65" i="3"/>
  <c r="R65" i="3" s="1"/>
  <c r="S65" i="3" s="1"/>
  <c r="L132" i="3"/>
  <c r="E231" i="4"/>
  <c r="I198" i="3"/>
  <c r="I200" i="3" s="1"/>
  <c r="L202" i="3"/>
  <c r="L204" i="3" s="1"/>
  <c r="R189" i="4"/>
  <c r="G155" i="4"/>
  <c r="P77" i="4"/>
  <c r="P80" i="4" s="1"/>
  <c r="R131" i="4"/>
  <c r="S131" i="4" s="1"/>
  <c r="R90" i="5"/>
  <c r="S90" i="5" s="1"/>
  <c r="P209" i="3"/>
  <c r="L131" i="4"/>
  <c r="L117" i="4"/>
  <c r="K117" i="4"/>
  <c r="K119" i="4" s="1"/>
  <c r="G119" i="4"/>
  <c r="I117" i="4"/>
  <c r="I119" i="4" s="1"/>
  <c r="H21" i="3"/>
  <c r="R21" i="3" s="1"/>
  <c r="S21" i="3" s="1"/>
  <c r="G151" i="4"/>
  <c r="R27" i="5"/>
  <c r="R124" i="5"/>
  <c r="S124" i="5" s="1"/>
  <c r="R17" i="4"/>
  <c r="S17" i="4" s="1"/>
  <c r="P225" i="3"/>
  <c r="P226" i="3" s="1"/>
  <c r="R57" i="4"/>
  <c r="S57" i="4" s="1"/>
  <c r="K53" i="3"/>
  <c r="F113" i="3"/>
  <c r="G113" i="3" s="1"/>
  <c r="I113" i="3" s="1"/>
  <c r="R146" i="4"/>
  <c r="S146" i="4" s="1"/>
  <c r="I80" i="4"/>
  <c r="R150" i="3"/>
  <c r="S150" i="3" s="1"/>
  <c r="G204" i="3"/>
  <c r="G209" i="3"/>
  <c r="R176" i="4"/>
  <c r="S176" i="4" s="1"/>
  <c r="K111" i="5"/>
  <c r="J231" i="4"/>
  <c r="R185" i="5"/>
  <c r="R140" i="5"/>
  <c r="S140" i="5"/>
  <c r="R126" i="5"/>
  <c r="S126" i="5" s="1"/>
  <c r="R174" i="5"/>
  <c r="R45" i="5"/>
  <c r="S45" i="5" s="1"/>
  <c r="R142" i="5"/>
  <c r="S142" i="5" s="1"/>
  <c r="K123" i="5"/>
  <c r="K127" i="5" s="1"/>
  <c r="G127" i="5"/>
  <c r="L60" i="5"/>
  <c r="R60" i="5" s="1"/>
  <c r="G171" i="5"/>
  <c r="K166" i="5"/>
  <c r="K171" i="5" s="1"/>
  <c r="S185" i="5"/>
  <c r="F233" i="5"/>
  <c r="S54" i="5"/>
  <c r="R119" i="5"/>
  <c r="S119" i="5" s="1"/>
  <c r="K81" i="5"/>
  <c r="L159" i="5"/>
  <c r="L164" i="5" s="1"/>
  <c r="I233" i="5"/>
  <c r="S196" i="5"/>
  <c r="R196" i="5"/>
  <c r="R40" i="5"/>
  <c r="S40" i="5" s="1"/>
  <c r="S221" i="5"/>
  <c r="R221" i="5"/>
  <c r="K153" i="5"/>
  <c r="K157" i="5" s="1"/>
  <c r="R215" i="5"/>
  <c r="S215" i="5"/>
  <c r="L151" i="5"/>
  <c r="R146" i="5"/>
  <c r="S146" i="5" s="1"/>
  <c r="R63" i="5"/>
  <c r="S63" i="5" s="1"/>
  <c r="L83" i="5"/>
  <c r="S191" i="5"/>
  <c r="R191" i="5"/>
  <c r="L232" i="5"/>
  <c r="R230" i="5"/>
  <c r="S230" i="5" s="1"/>
  <c r="S67" i="4"/>
  <c r="O27" i="4"/>
  <c r="O231" i="4" s="1"/>
  <c r="P109" i="4"/>
  <c r="L111" i="4"/>
  <c r="R108" i="4"/>
  <c r="S108" i="4" s="1"/>
  <c r="R26" i="4"/>
  <c r="S26" i="4" s="1"/>
  <c r="R23" i="4"/>
  <c r="S23" i="4" s="1"/>
  <c r="L69" i="4"/>
  <c r="R69" i="4" s="1"/>
  <c r="S69" i="4" s="1"/>
  <c r="L66" i="4"/>
  <c r="R66" i="4" s="1"/>
  <c r="S66" i="4" s="1"/>
  <c r="L95" i="4"/>
  <c r="R95" i="4" s="1"/>
  <c r="S95" i="4" s="1"/>
  <c r="R101" i="4"/>
  <c r="S101" i="4" s="1"/>
  <c r="L92" i="4"/>
  <c r="R92" i="4" s="1"/>
  <c r="S92" i="4" s="1"/>
  <c r="R73" i="4"/>
  <c r="S73" i="4" s="1"/>
  <c r="I109" i="4"/>
  <c r="R112" i="4"/>
  <c r="S112" i="4" s="1"/>
  <c r="H27" i="4"/>
  <c r="H231" i="4" s="1"/>
  <c r="L55" i="4"/>
  <c r="R55" i="4" s="1"/>
  <c r="I114" i="4"/>
  <c r="R114" i="4" s="1"/>
  <c r="S114" i="4" s="1"/>
  <c r="L194" i="4"/>
  <c r="R191" i="4"/>
  <c r="S191" i="4" s="1"/>
  <c r="R222" i="4"/>
  <c r="S222" i="4" s="1"/>
  <c r="P155" i="4"/>
  <c r="R154" i="4"/>
  <c r="S154" i="4" s="1"/>
  <c r="I204" i="4"/>
  <c r="R202" i="4"/>
  <c r="S202" i="4" s="1"/>
  <c r="K151" i="4"/>
  <c r="K155" i="4" s="1"/>
  <c r="L151" i="4"/>
  <c r="L155" i="4" s="1"/>
  <c r="L201" i="4"/>
  <c r="R225" i="4"/>
  <c r="S225" i="4" s="1"/>
  <c r="I124" i="4"/>
  <c r="R124" i="4" s="1"/>
  <c r="S124" i="4" s="1"/>
  <c r="R137" i="4"/>
  <c r="S137" i="4" s="1"/>
  <c r="R97" i="4"/>
  <c r="S97" i="4" s="1"/>
  <c r="R43" i="4"/>
  <c r="S43" i="4" s="1"/>
  <c r="K113" i="4"/>
  <c r="K115" i="4" s="1"/>
  <c r="I113" i="4"/>
  <c r="R91" i="4"/>
  <c r="S91" i="4" s="1"/>
  <c r="L76" i="4"/>
  <c r="R76" i="4" s="1"/>
  <c r="S76" i="4" s="1"/>
  <c r="R84" i="4"/>
  <c r="S84" i="4" s="1"/>
  <c r="R102" i="4"/>
  <c r="S102" i="4" s="1"/>
  <c r="R132" i="4"/>
  <c r="S132" i="4" s="1"/>
  <c r="R216" i="4"/>
  <c r="S216" i="4" s="1"/>
  <c r="G125" i="4"/>
  <c r="K121" i="4"/>
  <c r="R183" i="4"/>
  <c r="S183" i="4"/>
  <c r="K144" i="4"/>
  <c r="K149" i="4" s="1"/>
  <c r="L144" i="4"/>
  <c r="L149" i="4" s="1"/>
  <c r="F115" i="4"/>
  <c r="G115" i="4" s="1"/>
  <c r="P37" i="4"/>
  <c r="R208" i="4"/>
  <c r="S208" i="4"/>
  <c r="R197" i="4"/>
  <c r="S197" i="4" s="1"/>
  <c r="I199" i="4"/>
  <c r="L164" i="4"/>
  <c r="L169" i="4" s="1"/>
  <c r="G169" i="4"/>
  <c r="K164" i="4"/>
  <c r="K169" i="4" s="1"/>
  <c r="L140" i="4"/>
  <c r="K142" i="4"/>
  <c r="R228" i="4"/>
  <c r="S228" i="4" s="1"/>
  <c r="L104" i="4"/>
  <c r="R104" i="4" s="1"/>
  <c r="S104" i="4" s="1"/>
  <c r="G106" i="4"/>
  <c r="K87" i="4"/>
  <c r="L87" i="4" s="1"/>
  <c r="K158" i="4"/>
  <c r="L158" i="4" s="1"/>
  <c r="R158" i="4" s="1"/>
  <c r="S158" i="4" s="1"/>
  <c r="R107" i="4"/>
  <c r="S107" i="4" s="1"/>
  <c r="K157" i="4"/>
  <c r="K162" i="4" s="1"/>
  <c r="G138" i="4"/>
  <c r="K127" i="4"/>
  <c r="K138" i="4" s="1"/>
  <c r="K63" i="4"/>
  <c r="K80" i="4" s="1"/>
  <c r="R82" i="4"/>
  <c r="S82" i="4" s="1"/>
  <c r="L71" i="4"/>
  <c r="R71" i="4" s="1"/>
  <c r="S71" i="4" s="1"/>
  <c r="P39" i="4"/>
  <c r="P40" i="4" s="1"/>
  <c r="R40" i="4" s="1"/>
  <c r="R37" i="4"/>
  <c r="S37" i="4"/>
  <c r="R51" i="4"/>
  <c r="S51" i="4" s="1"/>
  <c r="K199" i="4"/>
  <c r="L196" i="4"/>
  <c r="L199" i="4" s="1"/>
  <c r="K171" i="4"/>
  <c r="K178" i="4" s="1"/>
  <c r="P162" i="4"/>
  <c r="R160" i="4"/>
  <c r="S160" i="4" s="1"/>
  <c r="R210" i="4"/>
  <c r="S210" i="4" s="1"/>
  <c r="R211" i="4"/>
  <c r="S211" i="4" s="1"/>
  <c r="K122" i="4"/>
  <c r="R111" i="4"/>
  <c r="S111" i="4" s="1"/>
  <c r="R135" i="4"/>
  <c r="S135" i="4" s="1"/>
  <c r="I123" i="4"/>
  <c r="K123" i="4"/>
  <c r="P44" i="4"/>
  <c r="P45" i="4" s="1"/>
  <c r="I44" i="4"/>
  <c r="I45" i="4" s="1"/>
  <c r="K59" i="4"/>
  <c r="L52" i="4"/>
  <c r="R52" i="4" s="1"/>
  <c r="S52" i="4" s="1"/>
  <c r="L75" i="4"/>
  <c r="R75" i="4" s="1"/>
  <c r="S75" i="4" s="1"/>
  <c r="R19" i="4"/>
  <c r="S19" i="4" s="1"/>
  <c r="K102" i="3"/>
  <c r="R102" i="3" s="1"/>
  <c r="S102" i="3" s="1"/>
  <c r="L102" i="3"/>
  <c r="P44" i="3"/>
  <c r="I44" i="3"/>
  <c r="I45" i="3" s="1"/>
  <c r="K87" i="3"/>
  <c r="R87" i="3" s="1"/>
  <c r="S87" i="3" s="1"/>
  <c r="L87" i="3"/>
  <c r="R58" i="3"/>
  <c r="S58" i="3" s="1"/>
  <c r="P163" i="3"/>
  <c r="P165" i="3" s="1"/>
  <c r="I218" i="3"/>
  <c r="F89" i="3"/>
  <c r="G89" i="3" s="1"/>
  <c r="K131" i="3"/>
  <c r="L131" i="3" s="1"/>
  <c r="R131" i="3" s="1"/>
  <c r="S131" i="3" s="1"/>
  <c r="E138" i="3"/>
  <c r="E151" i="3"/>
  <c r="G151" i="3" s="1"/>
  <c r="I156" i="3"/>
  <c r="I158" i="3" s="1"/>
  <c r="I193" i="3"/>
  <c r="G195" i="3"/>
  <c r="L206" i="3"/>
  <c r="E40" i="3"/>
  <c r="G40" i="3" s="1"/>
  <c r="R40" i="3" s="1"/>
  <c r="L64" i="3"/>
  <c r="G43" i="3"/>
  <c r="P43" i="3" s="1"/>
  <c r="P45" i="3" s="1"/>
  <c r="P51" i="3"/>
  <c r="P53" i="3" s="1"/>
  <c r="G62" i="3"/>
  <c r="L67" i="3"/>
  <c r="K93" i="3"/>
  <c r="L93" i="3" s="1"/>
  <c r="R93" i="3" s="1"/>
  <c r="S93" i="3" s="1"/>
  <c r="L100" i="3"/>
  <c r="R100" i="3" s="1"/>
  <c r="S100" i="3" s="1"/>
  <c r="F120" i="3"/>
  <c r="G120" i="3" s="1"/>
  <c r="L129" i="3"/>
  <c r="E165" i="3"/>
  <c r="E232" i="3"/>
  <c r="H20" i="3"/>
  <c r="R20" i="3" s="1"/>
  <c r="S20" i="3" s="1"/>
  <c r="O22" i="3"/>
  <c r="R22" i="3" s="1"/>
  <c r="S22" i="3" s="1"/>
  <c r="H24" i="3"/>
  <c r="R24" i="3" s="1"/>
  <c r="S24" i="3" s="1"/>
  <c r="R64" i="3"/>
  <c r="S64" i="3" s="1"/>
  <c r="N80" i="3"/>
  <c r="E37" i="3"/>
  <c r="G37" i="3" s="1"/>
  <c r="R50" i="3"/>
  <c r="S50" i="3" s="1"/>
  <c r="L97" i="3"/>
  <c r="R97" i="3" s="1"/>
  <c r="S97" i="3" s="1"/>
  <c r="F114" i="3"/>
  <c r="G114" i="3" s="1"/>
  <c r="R129" i="3"/>
  <c r="S129" i="3" s="1"/>
  <c r="R144" i="3"/>
  <c r="S144" i="3" s="1"/>
  <c r="R183" i="3"/>
  <c r="S183" i="3" s="1"/>
  <c r="R198" i="3"/>
  <c r="S198" i="3" s="1"/>
  <c r="G200" i="3"/>
  <c r="G222" i="3"/>
  <c r="C233" i="3"/>
  <c r="P213" i="3"/>
  <c r="R213" i="3" s="1"/>
  <c r="S213" i="3" s="1"/>
  <c r="I215" i="3"/>
  <c r="R29" i="3"/>
  <c r="S29" i="3" s="1"/>
  <c r="O18" i="3"/>
  <c r="K66" i="3"/>
  <c r="L66" i="3" s="1"/>
  <c r="R66" i="3" s="1"/>
  <c r="S66" i="3" s="1"/>
  <c r="G77" i="3"/>
  <c r="E80" i="3"/>
  <c r="K86" i="3"/>
  <c r="K149" i="3"/>
  <c r="L149" i="3" s="1"/>
  <c r="R149" i="3" s="1"/>
  <c r="S149" i="3" s="1"/>
  <c r="G171" i="3"/>
  <c r="E174" i="3"/>
  <c r="G174" i="3" s="1"/>
  <c r="G15" i="3"/>
  <c r="G16" i="3"/>
  <c r="H17" i="3"/>
  <c r="H19" i="3"/>
  <c r="R19" i="3" s="1"/>
  <c r="S19" i="3" s="1"/>
  <c r="H23" i="3"/>
  <c r="R25" i="3"/>
  <c r="S25" i="3" s="1"/>
  <c r="H26" i="3"/>
  <c r="R26" i="3" s="1"/>
  <c r="S26" i="3" s="1"/>
  <c r="C227" i="3"/>
  <c r="P33" i="3"/>
  <c r="R33" i="3" s="1"/>
  <c r="S33" i="3" s="1"/>
  <c r="G34" i="3"/>
  <c r="R39" i="3"/>
  <c r="E229" i="3"/>
  <c r="E53" i="3"/>
  <c r="G53" i="3"/>
  <c r="G55" i="3"/>
  <c r="L56" i="3"/>
  <c r="R56" i="3" s="1"/>
  <c r="S56" i="3" s="1"/>
  <c r="N227" i="3"/>
  <c r="K71" i="3"/>
  <c r="L71" i="3" s="1"/>
  <c r="K73" i="3"/>
  <c r="L73" i="3" s="1"/>
  <c r="R73" i="3" s="1"/>
  <c r="S73" i="3" s="1"/>
  <c r="K83" i="3"/>
  <c r="K92" i="3"/>
  <c r="L95" i="3"/>
  <c r="R95" i="3" s="1"/>
  <c r="S95" i="3" s="1"/>
  <c r="K99" i="3"/>
  <c r="G111" i="3"/>
  <c r="K128" i="3"/>
  <c r="L128" i="3" s="1"/>
  <c r="R128" i="3" s="1"/>
  <c r="S128" i="3" s="1"/>
  <c r="K219" i="3"/>
  <c r="L217" i="3"/>
  <c r="L219" i="3" s="1"/>
  <c r="L57" i="3"/>
  <c r="R57" i="3" s="1"/>
  <c r="S57" i="3" s="1"/>
  <c r="K105" i="3"/>
  <c r="I105" i="3"/>
  <c r="R14" i="3"/>
  <c r="S14" i="3" s="1"/>
  <c r="O26" i="3"/>
  <c r="J43" i="3"/>
  <c r="F59" i="3"/>
  <c r="K68" i="3"/>
  <c r="L68" i="3" s="1"/>
  <c r="R68" i="3" s="1"/>
  <c r="S68" i="3" s="1"/>
  <c r="K70" i="3"/>
  <c r="K72" i="3"/>
  <c r="L72" i="3" s="1"/>
  <c r="R72" i="3" s="1"/>
  <c r="S72" i="3" s="1"/>
  <c r="K88" i="3"/>
  <c r="L88" i="3" s="1"/>
  <c r="R88" i="3" s="1"/>
  <c r="S88" i="3" s="1"/>
  <c r="K96" i="3"/>
  <c r="L96" i="3" s="1"/>
  <c r="R96" i="3" s="1"/>
  <c r="S96" i="3" s="1"/>
  <c r="K101" i="3"/>
  <c r="L101" i="3" s="1"/>
  <c r="R101" i="3" s="1"/>
  <c r="S101" i="3" s="1"/>
  <c r="L104" i="3"/>
  <c r="R104" i="3" s="1"/>
  <c r="S104" i="3" s="1"/>
  <c r="P108" i="3"/>
  <c r="I108" i="3"/>
  <c r="R108" i="3" s="1"/>
  <c r="S108" i="3" s="1"/>
  <c r="I120" i="3"/>
  <c r="R120" i="3" s="1"/>
  <c r="S120" i="3" s="1"/>
  <c r="G147" i="3"/>
  <c r="F151" i="3"/>
  <c r="L69" i="3"/>
  <c r="R69" i="3" s="1"/>
  <c r="S69" i="3" s="1"/>
  <c r="R15" i="3"/>
  <c r="S15" i="3" s="1"/>
  <c r="K17" i="3"/>
  <c r="O23" i="3"/>
  <c r="E27" i="3"/>
  <c r="G32" i="3"/>
  <c r="L47" i="3"/>
  <c r="K62" i="3"/>
  <c r="K63" i="3"/>
  <c r="L63" i="3" s="1"/>
  <c r="L82" i="3"/>
  <c r="R82" i="3" s="1"/>
  <c r="S82" i="3" s="1"/>
  <c r="L85" i="3"/>
  <c r="R85" i="3" s="1"/>
  <c r="S85" i="3" s="1"/>
  <c r="K90" i="3"/>
  <c r="L90" i="3" s="1"/>
  <c r="R90" i="3" s="1"/>
  <c r="S90" i="3" s="1"/>
  <c r="L98" i="3"/>
  <c r="R98" i="3" s="1"/>
  <c r="S98" i="3" s="1"/>
  <c r="L106" i="3"/>
  <c r="R106" i="3" s="1"/>
  <c r="S106" i="3" s="1"/>
  <c r="F145" i="3"/>
  <c r="G140" i="3"/>
  <c r="L76" i="3"/>
  <c r="R76" i="3" s="1"/>
  <c r="S76" i="3" s="1"/>
  <c r="R84" i="3"/>
  <c r="S84" i="3" s="1"/>
  <c r="E109" i="3"/>
  <c r="R91" i="3"/>
  <c r="S91" i="3" s="1"/>
  <c r="R94" i="3"/>
  <c r="S94" i="3" s="1"/>
  <c r="K112" i="3"/>
  <c r="L112" i="3" s="1"/>
  <c r="R112" i="3" s="1"/>
  <c r="S112" i="3" s="1"/>
  <c r="G127" i="3"/>
  <c r="E134" i="3"/>
  <c r="K130" i="3"/>
  <c r="G138" i="3"/>
  <c r="R142" i="3"/>
  <c r="S142" i="3" s="1"/>
  <c r="I145" i="3"/>
  <c r="L155" i="3"/>
  <c r="R155" i="3" s="1"/>
  <c r="S155" i="3" s="1"/>
  <c r="R67" i="3"/>
  <c r="S67" i="3" s="1"/>
  <c r="E230" i="3"/>
  <c r="P109" i="3"/>
  <c r="F121" i="3"/>
  <c r="E121" i="3"/>
  <c r="I130" i="3"/>
  <c r="I134" i="3" s="1"/>
  <c r="P133" i="3"/>
  <c r="P134" i="3" s="1"/>
  <c r="I133" i="3"/>
  <c r="R133" i="3" s="1"/>
  <c r="S133" i="3" s="1"/>
  <c r="R185" i="3"/>
  <c r="P188" i="3"/>
  <c r="P190" i="3" s="1"/>
  <c r="I188" i="3"/>
  <c r="L209" i="3"/>
  <c r="R206" i="3"/>
  <c r="S206" i="3" s="1"/>
  <c r="G75" i="3"/>
  <c r="I103" i="3"/>
  <c r="R107" i="3"/>
  <c r="S107" i="3" s="1"/>
  <c r="G117" i="3"/>
  <c r="L118" i="3"/>
  <c r="R118" i="3" s="1"/>
  <c r="S118" i="3" s="1"/>
  <c r="G119" i="3"/>
  <c r="F134" i="3"/>
  <c r="G123" i="3"/>
  <c r="K124" i="3"/>
  <c r="L136" i="3"/>
  <c r="L138" i="3" s="1"/>
  <c r="R137" i="3"/>
  <c r="S137" i="3" s="1"/>
  <c r="E145" i="3"/>
  <c r="G143" i="3"/>
  <c r="K148" i="3"/>
  <c r="L148" i="3" s="1"/>
  <c r="R148" i="3" s="1"/>
  <c r="S148" i="3" s="1"/>
  <c r="K154" i="3"/>
  <c r="L154" i="3" s="1"/>
  <c r="R154" i="3" s="1"/>
  <c r="S154" i="3" s="1"/>
  <c r="R132" i="3"/>
  <c r="S132" i="3" s="1"/>
  <c r="R141" i="3"/>
  <c r="S141" i="3" s="1"/>
  <c r="G153" i="3"/>
  <c r="P158" i="3"/>
  <c r="K177" i="3"/>
  <c r="K179" i="3" s="1"/>
  <c r="P185" i="3"/>
  <c r="E215" i="3"/>
  <c r="G215" i="3" s="1"/>
  <c r="G214" i="3"/>
  <c r="P214" i="3" s="1"/>
  <c r="K168" i="3"/>
  <c r="L168" i="3"/>
  <c r="R225" i="3"/>
  <c r="I226" i="3"/>
  <c r="R157" i="3"/>
  <c r="S157" i="3" s="1"/>
  <c r="E158" i="3"/>
  <c r="G158" i="3" s="1"/>
  <c r="K161" i="3"/>
  <c r="L161" i="3" s="1"/>
  <c r="R161" i="3" s="1"/>
  <c r="S161" i="3" s="1"/>
  <c r="I165" i="3"/>
  <c r="L170" i="3"/>
  <c r="R170" i="3" s="1"/>
  <c r="S170" i="3" s="1"/>
  <c r="P174" i="3"/>
  <c r="K190" i="3"/>
  <c r="L187" i="3"/>
  <c r="L190" i="3" s="1"/>
  <c r="P200" i="3"/>
  <c r="R207" i="3"/>
  <c r="S207" i="3" s="1"/>
  <c r="G160" i="3"/>
  <c r="L162" i="3"/>
  <c r="R162" i="3" s="1"/>
  <c r="S162" i="3" s="1"/>
  <c r="G167" i="3"/>
  <c r="K169" i="3"/>
  <c r="L169" i="3" s="1"/>
  <c r="I172" i="3"/>
  <c r="I174" i="3" s="1"/>
  <c r="F176" i="3"/>
  <c r="P178" i="3"/>
  <c r="L182" i="3"/>
  <c r="L185" i="3" s="1"/>
  <c r="K192" i="3"/>
  <c r="K197" i="3"/>
  <c r="I203" i="3"/>
  <c r="I204" i="3" s="1"/>
  <c r="I207" i="3"/>
  <c r="I209" i="3" s="1"/>
  <c r="L211" i="3"/>
  <c r="K212" i="3"/>
  <c r="L212" i="3" s="1"/>
  <c r="K221" i="3"/>
  <c r="K224" i="3"/>
  <c r="S232" i="16" l="1"/>
  <c r="E241" i="16" s="1"/>
  <c r="R232" i="16"/>
  <c r="S234" i="14"/>
  <c r="S238" i="14" s="1"/>
  <c r="S60" i="14"/>
  <c r="S232" i="14" s="1"/>
  <c r="E241" i="14" s="1"/>
  <c r="R81" i="13"/>
  <c r="R232" i="13" s="1"/>
  <c r="R238" i="13"/>
  <c r="R233" i="12"/>
  <c r="S239" i="12"/>
  <c r="S233" i="12"/>
  <c r="E242" i="12" s="1"/>
  <c r="S233" i="10"/>
  <c r="E242" i="10" s="1"/>
  <c r="S235" i="10"/>
  <c r="S239" i="10" s="1"/>
  <c r="R233" i="10"/>
  <c r="S81" i="9"/>
  <c r="S235" i="9"/>
  <c r="S239" i="9" s="1"/>
  <c r="R157" i="9"/>
  <c r="S157" i="9"/>
  <c r="S233" i="8"/>
  <c r="E242" i="8" s="1"/>
  <c r="S235" i="8"/>
  <c r="S239" i="8" s="1"/>
  <c r="S140" i="7"/>
  <c r="S236" i="7"/>
  <c r="S111" i="7"/>
  <c r="R111" i="7"/>
  <c r="R127" i="7"/>
  <c r="R235" i="7"/>
  <c r="R239" i="7" s="1"/>
  <c r="S235" i="6"/>
  <c r="S239" i="6" s="1"/>
  <c r="S180" i="5"/>
  <c r="S174" i="5"/>
  <c r="L121" i="5"/>
  <c r="S35" i="5"/>
  <c r="S238" i="5" s="1"/>
  <c r="R38" i="5"/>
  <c r="R115" i="5"/>
  <c r="S115" i="5" s="1"/>
  <c r="L81" i="5"/>
  <c r="L153" i="5"/>
  <c r="L157" i="5" s="1"/>
  <c r="G233" i="5"/>
  <c r="R64" i="5"/>
  <c r="S206" i="5"/>
  <c r="R206" i="5"/>
  <c r="R156" i="3"/>
  <c r="S156" i="3" s="1"/>
  <c r="R77" i="4"/>
  <c r="S77" i="4" s="1"/>
  <c r="L166" i="5"/>
  <c r="L171" i="5" s="1"/>
  <c r="P231" i="4"/>
  <c r="F115" i="3"/>
  <c r="G115" i="3" s="1"/>
  <c r="F109" i="3"/>
  <c r="S59" i="4"/>
  <c r="S55" i="4"/>
  <c r="S39" i="3"/>
  <c r="S40" i="3" s="1"/>
  <c r="S225" i="3"/>
  <c r="L113" i="3"/>
  <c r="R113" i="3" s="1"/>
  <c r="S113" i="3" s="1"/>
  <c r="K113" i="3"/>
  <c r="K233" i="5"/>
  <c r="L105" i="3"/>
  <c r="R105" i="3" s="1"/>
  <c r="S105" i="3" s="1"/>
  <c r="G27" i="3"/>
  <c r="R164" i="4"/>
  <c r="S164" i="4" s="1"/>
  <c r="S169" i="4" s="1"/>
  <c r="R144" i="4"/>
  <c r="S144" i="4" s="1"/>
  <c r="S149" i="4" s="1"/>
  <c r="R236" i="5"/>
  <c r="S41" i="5"/>
  <c r="L119" i="4"/>
  <c r="R117" i="4"/>
  <c r="S237" i="5"/>
  <c r="R237" i="5"/>
  <c r="R232" i="5"/>
  <c r="S232" i="5"/>
  <c r="L111" i="5"/>
  <c r="R83" i="5"/>
  <c r="S83" i="5" s="1"/>
  <c r="R117" i="5"/>
  <c r="R121" i="5"/>
  <c r="S121" i="5"/>
  <c r="R46" i="5"/>
  <c r="R151" i="5"/>
  <c r="S151" i="5"/>
  <c r="R159" i="5"/>
  <c r="S159" i="5" s="1"/>
  <c r="S117" i="5"/>
  <c r="L123" i="5"/>
  <c r="L127" i="5" s="1"/>
  <c r="R144" i="5"/>
  <c r="S144" i="5"/>
  <c r="R180" i="5"/>
  <c r="S27" i="5"/>
  <c r="L113" i="4"/>
  <c r="L115" i="4" s="1"/>
  <c r="L123" i="4"/>
  <c r="R123" i="4" s="1"/>
  <c r="S123" i="4" s="1"/>
  <c r="I115" i="4"/>
  <c r="I125" i="4"/>
  <c r="I231" i="4" s="1"/>
  <c r="L121" i="4"/>
  <c r="R121" i="4" s="1"/>
  <c r="S121" i="4" s="1"/>
  <c r="L122" i="4"/>
  <c r="L59" i="4"/>
  <c r="R59" i="4" s="1"/>
  <c r="L171" i="4"/>
  <c r="R39" i="4"/>
  <c r="R87" i="4"/>
  <c r="S87" i="4" s="1"/>
  <c r="R230" i="4"/>
  <c r="S230" i="4"/>
  <c r="R27" i="4"/>
  <c r="L204" i="4"/>
  <c r="R201" i="4"/>
  <c r="S201" i="4" s="1"/>
  <c r="R223" i="4"/>
  <c r="S223" i="4"/>
  <c r="L53" i="4"/>
  <c r="R53" i="4"/>
  <c r="S194" i="4"/>
  <c r="R194" i="4"/>
  <c r="R44" i="4"/>
  <c r="S44" i="4" s="1"/>
  <c r="K106" i="4"/>
  <c r="K109" i="4" s="1"/>
  <c r="G109" i="4"/>
  <c r="G231" i="4" s="1"/>
  <c r="L142" i="4"/>
  <c r="R140" i="4"/>
  <c r="S140" i="4" s="1"/>
  <c r="K125" i="4"/>
  <c r="K231" i="4" s="1"/>
  <c r="R219" i="4"/>
  <c r="S219" i="4"/>
  <c r="R151" i="4"/>
  <c r="S151" i="4" s="1"/>
  <c r="R235" i="4"/>
  <c r="S235" i="4"/>
  <c r="S213" i="4"/>
  <c r="R213" i="4"/>
  <c r="L63" i="4"/>
  <c r="L80" i="4" s="1"/>
  <c r="L127" i="4"/>
  <c r="L157" i="4"/>
  <c r="L162" i="4" s="1"/>
  <c r="S27" i="4"/>
  <c r="R226" i="4"/>
  <c r="S226" i="4"/>
  <c r="R196" i="4"/>
  <c r="S196" i="4" s="1"/>
  <c r="K89" i="3"/>
  <c r="L89" i="3" s="1"/>
  <c r="R89" i="3" s="1"/>
  <c r="S89" i="3" s="1"/>
  <c r="G109" i="3"/>
  <c r="R193" i="3"/>
  <c r="S193" i="3" s="1"/>
  <c r="I195" i="3"/>
  <c r="L177" i="3"/>
  <c r="R177" i="3" s="1"/>
  <c r="S177" i="3" s="1"/>
  <c r="I109" i="3"/>
  <c r="R44" i="3"/>
  <c r="S44" i="3" s="1"/>
  <c r="G45" i="3"/>
  <c r="R71" i="3"/>
  <c r="S71" i="3" s="1"/>
  <c r="E233" i="3"/>
  <c r="E235" i="3" s="1"/>
  <c r="I114" i="3"/>
  <c r="R114" i="3" s="1"/>
  <c r="S114" i="3" s="1"/>
  <c r="R212" i="3"/>
  <c r="S212" i="3" s="1"/>
  <c r="R163" i="3"/>
  <c r="S163" i="3" s="1"/>
  <c r="R172" i="3"/>
  <c r="S172" i="3" s="1"/>
  <c r="K109" i="3"/>
  <c r="R23" i="3"/>
  <c r="S23" i="3" s="1"/>
  <c r="O27" i="3"/>
  <c r="O227" i="3" s="1"/>
  <c r="R218" i="3"/>
  <c r="S218" i="3" s="1"/>
  <c r="I219" i="3"/>
  <c r="R51" i="3"/>
  <c r="S51" i="3" s="1"/>
  <c r="P215" i="3"/>
  <c r="K222" i="3"/>
  <c r="L221" i="3"/>
  <c r="L222" i="3" s="1"/>
  <c r="P179" i="3"/>
  <c r="R178" i="3"/>
  <c r="S178" i="3" s="1"/>
  <c r="K200" i="3"/>
  <c r="L197" i="3"/>
  <c r="L200" i="3" s="1"/>
  <c r="F179" i="3"/>
  <c r="G179" i="3" s="1"/>
  <c r="G176" i="3"/>
  <c r="R187" i="3"/>
  <c r="S187" i="3" s="1"/>
  <c r="R168" i="3"/>
  <c r="S168" i="3" s="1"/>
  <c r="K153" i="3"/>
  <c r="K158" i="3" s="1"/>
  <c r="P143" i="3"/>
  <c r="P145" i="3" s="1"/>
  <c r="R124" i="3"/>
  <c r="S124" i="3" s="1"/>
  <c r="R188" i="3"/>
  <c r="S188" i="3" s="1"/>
  <c r="I190" i="3"/>
  <c r="L124" i="3"/>
  <c r="L103" i="3"/>
  <c r="R103" i="3" s="1"/>
  <c r="S103" i="3" s="1"/>
  <c r="K127" i="3"/>
  <c r="L127" i="3" s="1"/>
  <c r="R63" i="3"/>
  <c r="S63" i="3" s="1"/>
  <c r="L70" i="3"/>
  <c r="R70" i="3" s="1"/>
  <c r="S70" i="3" s="1"/>
  <c r="L83" i="3"/>
  <c r="R83" i="3" s="1"/>
  <c r="S83" i="3" s="1"/>
  <c r="K55" i="3"/>
  <c r="K59" i="3" s="1"/>
  <c r="G59" i="3"/>
  <c r="I77" i="3"/>
  <c r="P77" i="3"/>
  <c r="P80" i="3" s="1"/>
  <c r="R18" i="3"/>
  <c r="S18" i="3" s="1"/>
  <c r="L62" i="3"/>
  <c r="E227" i="3"/>
  <c r="L215" i="3"/>
  <c r="K195" i="3"/>
  <c r="L192" i="3"/>
  <c r="G165" i="3"/>
  <c r="K160" i="3"/>
  <c r="K165" i="3" s="1"/>
  <c r="R197" i="3"/>
  <c r="S197" i="3" s="1"/>
  <c r="R136" i="3"/>
  <c r="S136" i="3" s="1"/>
  <c r="K215" i="3"/>
  <c r="G145" i="3"/>
  <c r="G134" i="3"/>
  <c r="K123" i="3"/>
  <c r="K134" i="3" s="1"/>
  <c r="K117" i="3"/>
  <c r="G121" i="3"/>
  <c r="K75" i="3"/>
  <c r="K80" i="3" s="1"/>
  <c r="I75" i="3"/>
  <c r="L130" i="3"/>
  <c r="R130" i="3" s="1"/>
  <c r="S130" i="3" s="1"/>
  <c r="L53" i="3"/>
  <c r="R47" i="3"/>
  <c r="S47" i="3" s="1"/>
  <c r="R17" i="3"/>
  <c r="S17" i="3" s="1"/>
  <c r="K27" i="3"/>
  <c r="J45" i="3"/>
  <c r="R43" i="3"/>
  <c r="S43" i="3" s="1"/>
  <c r="L99" i="3"/>
  <c r="R99" i="3" s="1"/>
  <c r="S99" i="3" s="1"/>
  <c r="L92" i="3"/>
  <c r="R92" i="3" s="1"/>
  <c r="S92" i="3" s="1"/>
  <c r="J34" i="3"/>
  <c r="J37" i="3" s="1"/>
  <c r="H27" i="3"/>
  <c r="H227" i="3" s="1"/>
  <c r="K171" i="3"/>
  <c r="L171" i="3"/>
  <c r="R171" i="3" s="1"/>
  <c r="S171" i="3" s="1"/>
  <c r="L86" i="3"/>
  <c r="R86" i="3" s="1"/>
  <c r="S86" i="3" s="1"/>
  <c r="K167" i="3"/>
  <c r="I119" i="3"/>
  <c r="I121" i="3" s="1"/>
  <c r="K119" i="3"/>
  <c r="K111" i="3"/>
  <c r="K115" i="3" s="1"/>
  <c r="I111" i="3"/>
  <c r="K226" i="3"/>
  <c r="L224" i="3"/>
  <c r="L226" i="3" s="1"/>
  <c r="R214" i="3"/>
  <c r="S214" i="3" s="1"/>
  <c r="R203" i="3"/>
  <c r="S203" i="3" s="1"/>
  <c r="S209" i="3"/>
  <c r="R209" i="3"/>
  <c r="R169" i="3"/>
  <c r="S169" i="3" s="1"/>
  <c r="K140" i="3"/>
  <c r="K145" i="3" s="1"/>
  <c r="G80" i="3"/>
  <c r="P32" i="3"/>
  <c r="P37" i="3" s="1"/>
  <c r="P227" i="3" s="1"/>
  <c r="K147" i="3"/>
  <c r="K151" i="3" s="1"/>
  <c r="Q233" i="2"/>
  <c r="C233" i="2"/>
  <c r="E33" i="2"/>
  <c r="G33" i="2" s="1"/>
  <c r="S81" i="13" l="1"/>
  <c r="S232" i="13" s="1"/>
  <c r="E241" i="13" s="1"/>
  <c r="S238" i="13"/>
  <c r="S233" i="9"/>
  <c r="E242" i="9" s="1"/>
  <c r="R233" i="7"/>
  <c r="S127" i="7"/>
  <c r="S233" i="7" s="1"/>
  <c r="E242" i="7" s="1"/>
  <c r="S235" i="7"/>
  <c r="S239" i="7" s="1"/>
  <c r="R153" i="5"/>
  <c r="S153" i="5" s="1"/>
  <c r="S38" i="5"/>
  <c r="S64" i="5"/>
  <c r="S81" i="5" s="1"/>
  <c r="R81" i="5"/>
  <c r="L233" i="5"/>
  <c r="R166" i="5"/>
  <c r="K174" i="3"/>
  <c r="R221" i="3"/>
  <c r="S221" i="3" s="1"/>
  <c r="L55" i="3"/>
  <c r="L59" i="3" s="1"/>
  <c r="R113" i="4"/>
  <c r="S113" i="4" s="1"/>
  <c r="L160" i="3"/>
  <c r="L165" i="3" s="1"/>
  <c r="R119" i="4"/>
  <c r="S117" i="4"/>
  <c r="S119" i="4" s="1"/>
  <c r="I115" i="3"/>
  <c r="R149" i="4"/>
  <c r="S39" i="4"/>
  <c r="S40" i="4" s="1"/>
  <c r="R77" i="3"/>
  <c r="R169" i="4"/>
  <c r="L119" i="3"/>
  <c r="S236" i="5"/>
  <c r="S46" i="5"/>
  <c r="S60" i="5"/>
  <c r="R164" i="5"/>
  <c r="S164" i="5"/>
  <c r="R157" i="5"/>
  <c r="S157" i="5"/>
  <c r="R123" i="5"/>
  <c r="S123" i="5" s="1"/>
  <c r="R111" i="5"/>
  <c r="S111" i="5"/>
  <c r="S115" i="4"/>
  <c r="L125" i="4"/>
  <c r="L231" i="4" s="1"/>
  <c r="R122" i="4"/>
  <c r="S122" i="4" s="1"/>
  <c r="S125" i="4"/>
  <c r="R45" i="4"/>
  <c r="R115" i="4"/>
  <c r="S45" i="4"/>
  <c r="S236" i="4"/>
  <c r="L178" i="4"/>
  <c r="R171" i="4"/>
  <c r="S171" i="4" s="1"/>
  <c r="S155" i="4"/>
  <c r="R155" i="4"/>
  <c r="R157" i="4"/>
  <c r="S157" i="4" s="1"/>
  <c r="S204" i="4"/>
  <c r="R204" i="4"/>
  <c r="L138" i="4"/>
  <c r="R127" i="4"/>
  <c r="S127" i="4" s="1"/>
  <c r="L106" i="4"/>
  <c r="L109" i="4" s="1"/>
  <c r="R236" i="4"/>
  <c r="S53" i="4"/>
  <c r="R199" i="4"/>
  <c r="S199" i="4"/>
  <c r="R142" i="4"/>
  <c r="S142" i="4"/>
  <c r="R63" i="4"/>
  <c r="L75" i="3"/>
  <c r="R75" i="3" s="1"/>
  <c r="S75" i="3" s="1"/>
  <c r="G227" i="3"/>
  <c r="F227" i="3"/>
  <c r="S219" i="3"/>
  <c r="R219" i="3"/>
  <c r="R224" i="3"/>
  <c r="L140" i="3"/>
  <c r="L145" i="3" s="1"/>
  <c r="R119" i="3"/>
  <c r="S119" i="3" s="1"/>
  <c r="L167" i="3"/>
  <c r="L174" i="3" s="1"/>
  <c r="L123" i="3"/>
  <c r="R123" i="3" s="1"/>
  <c r="S123" i="3" s="1"/>
  <c r="R55" i="3"/>
  <c r="R127" i="3"/>
  <c r="S127" i="3" s="1"/>
  <c r="R143" i="3"/>
  <c r="S143" i="3" s="1"/>
  <c r="L147" i="3"/>
  <c r="R140" i="3"/>
  <c r="L111" i="3"/>
  <c r="L115" i="3" s="1"/>
  <c r="J227" i="3"/>
  <c r="I80" i="3"/>
  <c r="I227" i="3" s="1"/>
  <c r="K121" i="3"/>
  <c r="K227" i="3" s="1"/>
  <c r="L153" i="3"/>
  <c r="R215" i="3"/>
  <c r="R34" i="3"/>
  <c r="S34" i="3" s="1"/>
  <c r="S45" i="3"/>
  <c r="R45" i="3"/>
  <c r="R53" i="3"/>
  <c r="L117" i="3"/>
  <c r="L121" i="3" s="1"/>
  <c r="L195" i="3"/>
  <c r="R192" i="3"/>
  <c r="S192" i="3" s="1"/>
  <c r="R109" i="3"/>
  <c r="S190" i="3"/>
  <c r="R190" i="3"/>
  <c r="S200" i="3"/>
  <c r="R200" i="3"/>
  <c r="S109" i="3"/>
  <c r="R27" i="3"/>
  <c r="L80" i="3"/>
  <c r="L176" i="3"/>
  <c r="L179" i="3" s="1"/>
  <c r="S222" i="3"/>
  <c r="R222" i="3"/>
  <c r="L109" i="3"/>
  <c r="S215" i="3"/>
  <c r="R32" i="3"/>
  <c r="S32" i="3" s="1"/>
  <c r="S204" i="3"/>
  <c r="R204" i="3"/>
  <c r="R167" i="3"/>
  <c r="S167" i="3" s="1"/>
  <c r="S27" i="3"/>
  <c r="R62" i="3"/>
  <c r="S62" i="3" s="1"/>
  <c r="S138" i="3"/>
  <c r="R138" i="3"/>
  <c r="R59" i="3"/>
  <c r="P33" i="2"/>
  <c r="R33" i="2" s="1"/>
  <c r="S33" i="2" s="1"/>
  <c r="S166" i="5" l="1"/>
  <c r="S171" i="5" s="1"/>
  <c r="R171" i="5"/>
  <c r="R233" i="5" s="1"/>
  <c r="R145" i="3"/>
  <c r="S140" i="3"/>
  <c r="S77" i="3"/>
  <c r="S231" i="3" s="1"/>
  <c r="R231" i="3"/>
  <c r="R160" i="3"/>
  <c r="S160" i="3" s="1"/>
  <c r="S165" i="3" s="1"/>
  <c r="L134" i="3"/>
  <c r="R226" i="3"/>
  <c r="S224" i="3"/>
  <c r="S226" i="3" s="1"/>
  <c r="R111" i="3"/>
  <c r="S63" i="4"/>
  <c r="S233" i="4" s="1"/>
  <c r="R233" i="4"/>
  <c r="S55" i="3"/>
  <c r="S59" i="3" s="1"/>
  <c r="R127" i="5"/>
  <c r="R239" i="5"/>
  <c r="R125" i="4"/>
  <c r="R162" i="4"/>
  <c r="S162" i="4"/>
  <c r="R80" i="4"/>
  <c r="S138" i="4"/>
  <c r="R138" i="4"/>
  <c r="S178" i="4"/>
  <c r="R178" i="4"/>
  <c r="R106" i="4"/>
  <c r="S106" i="4" s="1"/>
  <c r="R115" i="3"/>
  <c r="L151" i="3"/>
  <c r="R147" i="3"/>
  <c r="S147" i="3" s="1"/>
  <c r="S145" i="3"/>
  <c r="R176" i="3"/>
  <c r="L158" i="3"/>
  <c r="R153" i="3"/>
  <c r="S153" i="3" s="1"/>
  <c r="R117" i="3"/>
  <c r="S117" i="3" s="1"/>
  <c r="R37" i="3"/>
  <c r="R232" i="3"/>
  <c r="R165" i="3"/>
  <c r="R80" i="3"/>
  <c r="S80" i="3"/>
  <c r="S195" i="3"/>
  <c r="R195" i="3"/>
  <c r="S53" i="3"/>
  <c r="S174" i="3"/>
  <c r="R174" i="3"/>
  <c r="R134" i="3"/>
  <c r="S134" i="3"/>
  <c r="R230" i="3"/>
  <c r="Q232" i="2"/>
  <c r="C232" i="2"/>
  <c r="Q231" i="2"/>
  <c r="C231" i="2"/>
  <c r="Q230" i="2"/>
  <c r="Q234" i="2" s="1"/>
  <c r="C230" i="2"/>
  <c r="C234" i="2" s="1"/>
  <c r="F227" i="2"/>
  <c r="E227" i="2"/>
  <c r="G227" i="2" s="1"/>
  <c r="C227" i="2"/>
  <c r="G226" i="2"/>
  <c r="I226" i="2" s="1"/>
  <c r="I227" i="2" s="1"/>
  <c r="G225" i="2"/>
  <c r="F223" i="2"/>
  <c r="E223" i="2"/>
  <c r="C223" i="2"/>
  <c r="P222" i="2"/>
  <c r="P223" i="2" s="1"/>
  <c r="I222" i="2"/>
  <c r="I223" i="2" s="1"/>
  <c r="G222" i="2"/>
  <c r="G221" i="2"/>
  <c r="F219" i="2"/>
  <c r="E219" i="2"/>
  <c r="C219" i="2"/>
  <c r="P218" i="2"/>
  <c r="P219" i="2" s="1"/>
  <c r="I218" i="2"/>
  <c r="I219" i="2" s="1"/>
  <c r="G218" i="2"/>
  <c r="S217" i="2"/>
  <c r="G217" i="2"/>
  <c r="K217" i="2" s="1"/>
  <c r="F215" i="2"/>
  <c r="E215" i="2"/>
  <c r="G215" i="2" s="1"/>
  <c r="C215" i="2"/>
  <c r="E214" i="2"/>
  <c r="G214" i="2" s="1"/>
  <c r="P214" i="2" s="1"/>
  <c r="G213" i="2"/>
  <c r="I213" i="2" s="1"/>
  <c r="G212" i="2"/>
  <c r="K212" i="2" s="1"/>
  <c r="S211" i="2"/>
  <c r="K211" i="2"/>
  <c r="L211" i="2" s="1"/>
  <c r="G211" i="2"/>
  <c r="F209" i="2"/>
  <c r="E209" i="2"/>
  <c r="C209" i="2"/>
  <c r="P208" i="2"/>
  <c r="R208" i="2" s="1"/>
  <c r="S208" i="2" s="1"/>
  <c r="G208" i="2"/>
  <c r="P207" i="2"/>
  <c r="G207" i="2"/>
  <c r="I207" i="2" s="1"/>
  <c r="I209" i="2" s="1"/>
  <c r="G206" i="2"/>
  <c r="K206" i="2" s="1"/>
  <c r="F204" i="2"/>
  <c r="E204" i="2"/>
  <c r="G204" i="2" s="1"/>
  <c r="C204" i="2"/>
  <c r="G203" i="2"/>
  <c r="I203" i="2" s="1"/>
  <c r="I204" i="2" s="1"/>
  <c r="S202" i="2"/>
  <c r="G202" i="2"/>
  <c r="K202" i="2" s="1"/>
  <c r="K200" i="2"/>
  <c r="F200" i="2"/>
  <c r="E200" i="2"/>
  <c r="G200" i="2" s="1"/>
  <c r="C200" i="2"/>
  <c r="G199" i="2"/>
  <c r="P199" i="2" s="1"/>
  <c r="R199" i="2" s="1"/>
  <c r="S199" i="2" s="1"/>
  <c r="G198" i="2"/>
  <c r="P198" i="2" s="1"/>
  <c r="G197" i="2"/>
  <c r="K197" i="2" s="1"/>
  <c r="I195" i="2"/>
  <c r="F195" i="2"/>
  <c r="E195" i="2"/>
  <c r="C195" i="2"/>
  <c r="G194" i="2"/>
  <c r="P194" i="2" s="1"/>
  <c r="R194" i="2" s="1"/>
  <c r="S194" i="2" s="1"/>
  <c r="I193" i="2"/>
  <c r="G193" i="2"/>
  <c r="P193" i="2" s="1"/>
  <c r="G192" i="2"/>
  <c r="K192" i="2" s="1"/>
  <c r="K195" i="2" s="1"/>
  <c r="E190" i="2"/>
  <c r="G190" i="2" s="1"/>
  <c r="C190" i="2"/>
  <c r="G189" i="2"/>
  <c r="P189" i="2" s="1"/>
  <c r="R189" i="2" s="1"/>
  <c r="S189" i="2" s="1"/>
  <c r="G188" i="2"/>
  <c r="G187" i="2"/>
  <c r="K187" i="2" s="1"/>
  <c r="E185" i="2"/>
  <c r="G185" i="2" s="1"/>
  <c r="C185" i="2"/>
  <c r="G184" i="2"/>
  <c r="P184" i="2" s="1"/>
  <c r="R184" i="2" s="1"/>
  <c r="S184" i="2" s="1"/>
  <c r="G183" i="2"/>
  <c r="P183" i="2" s="1"/>
  <c r="P185" i="2" s="1"/>
  <c r="S182" i="2"/>
  <c r="G182" i="2"/>
  <c r="K182" i="2" s="1"/>
  <c r="L182" i="2" s="1"/>
  <c r="L185" i="2" s="1"/>
  <c r="M179" i="2"/>
  <c r="C179" i="2"/>
  <c r="G178" i="2"/>
  <c r="P178" i="2" s="1"/>
  <c r="P179" i="2" s="1"/>
  <c r="G177" i="2"/>
  <c r="E176" i="2"/>
  <c r="O174" i="2"/>
  <c r="C174" i="2"/>
  <c r="G173" i="2"/>
  <c r="P173" i="2" s="1"/>
  <c r="R173" i="2" s="1"/>
  <c r="S173" i="2" s="1"/>
  <c r="G172" i="2"/>
  <c r="I172" i="2" s="1"/>
  <c r="I174" i="2" s="1"/>
  <c r="E171" i="2"/>
  <c r="K170" i="2"/>
  <c r="G170" i="2"/>
  <c r="G169" i="2"/>
  <c r="G168" i="2"/>
  <c r="E168" i="2"/>
  <c r="F167" i="2"/>
  <c r="G167" i="2" s="1"/>
  <c r="K167" i="2" s="1"/>
  <c r="O165" i="2"/>
  <c r="C165" i="2"/>
  <c r="G164" i="2"/>
  <c r="G163" i="2"/>
  <c r="I163" i="2" s="1"/>
  <c r="I165" i="2" s="1"/>
  <c r="G162" i="2"/>
  <c r="G161" i="2"/>
  <c r="E160" i="2"/>
  <c r="O158" i="2"/>
  <c r="M158" i="2"/>
  <c r="C158" i="2"/>
  <c r="G157" i="2"/>
  <c r="G156" i="2"/>
  <c r="E155" i="2"/>
  <c r="G155" i="2" s="1"/>
  <c r="E154" i="2"/>
  <c r="G154" i="2" s="1"/>
  <c r="F153" i="2"/>
  <c r="F158" i="2" s="1"/>
  <c r="E153" i="2"/>
  <c r="E158" i="2" s="1"/>
  <c r="G158" i="2" s="1"/>
  <c r="O151" i="2"/>
  <c r="M151" i="2"/>
  <c r="C151" i="2"/>
  <c r="P150" i="2"/>
  <c r="P151" i="2" s="1"/>
  <c r="G150" i="2"/>
  <c r="I150" i="2" s="1"/>
  <c r="L149" i="2"/>
  <c r="R149" i="2" s="1"/>
  <c r="S149" i="2" s="1"/>
  <c r="G149" i="2"/>
  <c r="K149" i="2" s="1"/>
  <c r="G148" i="2"/>
  <c r="E148" i="2"/>
  <c r="E147" i="2"/>
  <c r="C145" i="2"/>
  <c r="G144" i="2"/>
  <c r="P144" i="2" s="1"/>
  <c r="R144" i="2" s="1"/>
  <c r="S144" i="2" s="1"/>
  <c r="E143" i="2"/>
  <c r="G143" i="2" s="1"/>
  <c r="G142" i="2"/>
  <c r="K141" i="2"/>
  <c r="G141" i="2"/>
  <c r="E140" i="2"/>
  <c r="E138" i="2"/>
  <c r="C138" i="2"/>
  <c r="N137" i="2"/>
  <c r="N138" i="2" s="1"/>
  <c r="E137" i="2"/>
  <c r="G137" i="2" s="1"/>
  <c r="P137" i="2" s="1"/>
  <c r="P138" i="2" s="1"/>
  <c r="N136" i="2"/>
  <c r="E136" i="2"/>
  <c r="G136" i="2" s="1"/>
  <c r="K136" i="2" s="1"/>
  <c r="K138" i="2" s="1"/>
  <c r="O134" i="2"/>
  <c r="M134" i="2"/>
  <c r="C134" i="2"/>
  <c r="E133" i="2"/>
  <c r="G133" i="2" s="1"/>
  <c r="G132" i="2"/>
  <c r="K132" i="2" s="1"/>
  <c r="K131" i="2"/>
  <c r="G131" i="2"/>
  <c r="L131" i="2" s="1"/>
  <c r="E130" i="2"/>
  <c r="G130" i="2" s="1"/>
  <c r="G129" i="2"/>
  <c r="G128" i="2"/>
  <c r="K128" i="2" s="1"/>
  <c r="E127" i="2"/>
  <c r="G127" i="2" s="1"/>
  <c r="F124" i="2"/>
  <c r="G124" i="2" s="1"/>
  <c r="F123" i="2"/>
  <c r="G123" i="2" s="1"/>
  <c r="C121" i="2"/>
  <c r="P120" i="2"/>
  <c r="P121" i="2" s="1"/>
  <c r="N120" i="2"/>
  <c r="F120" i="2"/>
  <c r="G120" i="2" s="1"/>
  <c r="E120" i="2"/>
  <c r="N119" i="2"/>
  <c r="N121" i="2" s="1"/>
  <c r="I119" i="2"/>
  <c r="E119" i="2"/>
  <c r="F119" i="2" s="1"/>
  <c r="G119" i="2" s="1"/>
  <c r="E118" i="2"/>
  <c r="F117" i="2"/>
  <c r="E117" i="2"/>
  <c r="C115" i="2"/>
  <c r="E114" i="2"/>
  <c r="P114" i="2" s="1"/>
  <c r="P115" i="2" s="1"/>
  <c r="E113" i="2"/>
  <c r="E115" i="2" s="1"/>
  <c r="F112" i="2"/>
  <c r="F111" i="2"/>
  <c r="G111" i="2" s="1"/>
  <c r="K111" i="2" s="1"/>
  <c r="C109" i="2"/>
  <c r="E108" i="2"/>
  <c r="G108" i="2" s="1"/>
  <c r="G107" i="2"/>
  <c r="P107" i="2" s="1"/>
  <c r="E106" i="2"/>
  <c r="F106" i="2" s="1"/>
  <c r="G106" i="2" s="1"/>
  <c r="E105" i="2"/>
  <c r="G105" i="2" s="1"/>
  <c r="E104" i="2"/>
  <c r="G104" i="2" s="1"/>
  <c r="G103" i="2"/>
  <c r="F102" i="2"/>
  <c r="G102" i="2" s="1"/>
  <c r="E101" i="2"/>
  <c r="G101" i="2" s="1"/>
  <c r="G100" i="2"/>
  <c r="E99" i="2"/>
  <c r="G99" i="2" s="1"/>
  <c r="E98" i="2"/>
  <c r="G98" i="2" s="1"/>
  <c r="G97" i="2"/>
  <c r="K97" i="2" s="1"/>
  <c r="K96" i="2"/>
  <c r="G96" i="2"/>
  <c r="K95" i="2"/>
  <c r="G95" i="2"/>
  <c r="G94" i="2"/>
  <c r="K94" i="2" s="1"/>
  <c r="G93" i="2"/>
  <c r="K93" i="2" s="1"/>
  <c r="E92" i="2"/>
  <c r="G92" i="2" s="1"/>
  <c r="K92" i="2" s="1"/>
  <c r="F91" i="2"/>
  <c r="G91" i="2" s="1"/>
  <c r="G90" i="2"/>
  <c r="K90" i="2" s="1"/>
  <c r="E89" i="2"/>
  <c r="F89" i="2" s="1"/>
  <c r="F88" i="2"/>
  <c r="G88" i="2" s="1"/>
  <c r="E87" i="2"/>
  <c r="G87" i="2" s="1"/>
  <c r="G86" i="2"/>
  <c r="G85" i="2"/>
  <c r="F84" i="2"/>
  <c r="G84" i="2" s="1"/>
  <c r="G83" i="2"/>
  <c r="F82" i="2"/>
  <c r="G82" i="2" s="1"/>
  <c r="C80" i="2"/>
  <c r="G79" i="2"/>
  <c r="P79" i="2" s="1"/>
  <c r="R79" i="2" s="1"/>
  <c r="S79" i="2" s="1"/>
  <c r="G78" i="2"/>
  <c r="P78" i="2" s="1"/>
  <c r="R78" i="2" s="1"/>
  <c r="S78" i="2" s="1"/>
  <c r="N77" i="2"/>
  <c r="E77" i="2"/>
  <c r="E232" i="2" s="1"/>
  <c r="G76" i="2"/>
  <c r="K76" i="2" s="1"/>
  <c r="N75" i="2"/>
  <c r="E75" i="2"/>
  <c r="E231" i="2" s="1"/>
  <c r="G74" i="2"/>
  <c r="F74" i="2"/>
  <c r="E73" i="2"/>
  <c r="G73" i="2" s="1"/>
  <c r="N72" i="2"/>
  <c r="G72" i="2"/>
  <c r="E72" i="2"/>
  <c r="E71" i="2"/>
  <c r="G71" i="2" s="1"/>
  <c r="E70" i="2"/>
  <c r="G70" i="2" s="1"/>
  <c r="K70" i="2" s="1"/>
  <c r="E69" i="2"/>
  <c r="G69" i="2" s="1"/>
  <c r="G68" i="2"/>
  <c r="K68" i="2" s="1"/>
  <c r="E68" i="2"/>
  <c r="N67" i="2"/>
  <c r="N80" i="2" s="1"/>
  <c r="N228" i="2" s="1"/>
  <c r="G67" i="2"/>
  <c r="E67" i="2"/>
  <c r="E66" i="2"/>
  <c r="G66" i="2" s="1"/>
  <c r="G65" i="2"/>
  <c r="G64" i="2"/>
  <c r="K64" i="2" s="1"/>
  <c r="E63" i="2"/>
  <c r="G62" i="2"/>
  <c r="F62" i="2"/>
  <c r="F80" i="2" s="1"/>
  <c r="Q59" i="2"/>
  <c r="G58" i="2"/>
  <c r="F57" i="2"/>
  <c r="G57" i="2" s="1"/>
  <c r="G56" i="2"/>
  <c r="K56" i="2" s="1"/>
  <c r="F56" i="2"/>
  <c r="E55" i="2"/>
  <c r="E59" i="2" s="1"/>
  <c r="C53" i="2"/>
  <c r="G52" i="2"/>
  <c r="K52" i="2" s="1"/>
  <c r="L52" i="2" s="1"/>
  <c r="R52" i="2" s="1"/>
  <c r="S52" i="2" s="1"/>
  <c r="G51" i="2"/>
  <c r="P51" i="2" s="1"/>
  <c r="S50" i="2"/>
  <c r="R50" i="2"/>
  <c r="O50" i="2"/>
  <c r="O53" i="2" s="1"/>
  <c r="K49" i="2"/>
  <c r="E48" i="2"/>
  <c r="G48" i="2" s="1"/>
  <c r="G47" i="2"/>
  <c r="E47" i="2"/>
  <c r="C45" i="2"/>
  <c r="E44" i="2"/>
  <c r="G44" i="2" s="1"/>
  <c r="E43" i="2"/>
  <c r="E45" i="2" s="1"/>
  <c r="P42" i="2"/>
  <c r="R42" i="2" s="1"/>
  <c r="C40" i="2"/>
  <c r="E39" i="2"/>
  <c r="G39" i="2" s="1"/>
  <c r="I37" i="2"/>
  <c r="C37" i="2"/>
  <c r="G36" i="2"/>
  <c r="G35" i="2"/>
  <c r="P34" i="2"/>
  <c r="F34" i="2"/>
  <c r="F37" i="2" s="1"/>
  <c r="E32" i="2"/>
  <c r="G32" i="2" s="1"/>
  <c r="G31" i="2"/>
  <c r="P31" i="2" s="1"/>
  <c r="R31" i="2" s="1"/>
  <c r="S31" i="2" s="1"/>
  <c r="G30" i="2"/>
  <c r="P30" i="2" s="1"/>
  <c r="R30" i="2" s="1"/>
  <c r="S30" i="2" s="1"/>
  <c r="G29" i="2"/>
  <c r="P29" i="2" s="1"/>
  <c r="C27" i="2"/>
  <c r="G26" i="2"/>
  <c r="E26" i="2"/>
  <c r="G25" i="2"/>
  <c r="H25" i="2" s="1"/>
  <c r="G24" i="2"/>
  <c r="O24" i="2" s="1"/>
  <c r="E23" i="2"/>
  <c r="G23" i="2" s="1"/>
  <c r="G22" i="2"/>
  <c r="H22" i="2" s="1"/>
  <c r="G21" i="2"/>
  <c r="O21" i="2" s="1"/>
  <c r="G20" i="2"/>
  <c r="O19" i="2"/>
  <c r="G19" i="2"/>
  <c r="E19" i="2"/>
  <c r="G18" i="2"/>
  <c r="O18" i="2" s="1"/>
  <c r="R18" i="2" s="1"/>
  <c r="S18" i="2" s="1"/>
  <c r="E18" i="2"/>
  <c r="G17" i="2"/>
  <c r="O17" i="2" s="1"/>
  <c r="E16" i="2"/>
  <c r="G16" i="2" s="1"/>
  <c r="E15" i="2"/>
  <c r="O14" i="2"/>
  <c r="M14" i="2"/>
  <c r="M27" i="2" s="1"/>
  <c r="M228" i="2" s="1"/>
  <c r="R213" i="2" l="1"/>
  <c r="S213" i="2" s="1"/>
  <c r="K219" i="2"/>
  <c r="L217" i="2"/>
  <c r="L219" i="2" s="1"/>
  <c r="G118" i="2"/>
  <c r="K118" i="2" s="1"/>
  <c r="L118" i="2" s="1"/>
  <c r="R118" i="2" s="1"/>
  <c r="S118" i="2" s="1"/>
  <c r="I133" i="2"/>
  <c r="P133" i="2"/>
  <c r="P134" i="2" s="1"/>
  <c r="L48" i="2"/>
  <c r="R48" i="2"/>
  <c r="S48" i="2" s="1"/>
  <c r="R49" i="2"/>
  <c r="S49" i="2" s="1"/>
  <c r="R131" i="2"/>
  <c r="S131" i="2" s="1"/>
  <c r="E233" i="2"/>
  <c r="E234" i="2" s="1"/>
  <c r="E236" i="2" s="1"/>
  <c r="G34" i="2"/>
  <c r="E40" i="2"/>
  <c r="G40" i="2" s="1"/>
  <c r="E80" i="2"/>
  <c r="K100" i="2"/>
  <c r="L100" i="2" s="1"/>
  <c r="E121" i="2"/>
  <c r="G195" i="2"/>
  <c r="P203" i="2"/>
  <c r="F121" i="2"/>
  <c r="L49" i="2"/>
  <c r="P58" i="2"/>
  <c r="P59" i="2" s="1"/>
  <c r="G77" i="2"/>
  <c r="L93" i="2"/>
  <c r="L97" i="2"/>
  <c r="R97" i="2" s="1"/>
  <c r="S97" i="2" s="1"/>
  <c r="G113" i="2"/>
  <c r="F118" i="2"/>
  <c r="L132" i="2"/>
  <c r="G209" i="2"/>
  <c r="P213" i="2"/>
  <c r="P215" i="2" s="1"/>
  <c r="R179" i="3"/>
  <c r="S176" i="3"/>
  <c r="S179" i="3" s="1"/>
  <c r="S230" i="3"/>
  <c r="R231" i="4"/>
  <c r="K72" i="2"/>
  <c r="E230" i="2"/>
  <c r="F55" i="2"/>
  <c r="F59" i="2" s="1"/>
  <c r="K91" i="2"/>
  <c r="K102" i="2"/>
  <c r="L102" i="2" s="1"/>
  <c r="R102" i="2" s="1"/>
  <c r="S102" i="2" s="1"/>
  <c r="F114" i="2"/>
  <c r="G114" i="2" s="1"/>
  <c r="P164" i="2"/>
  <c r="R164" i="2" s="1"/>
  <c r="S164" i="2" s="1"/>
  <c r="I198" i="2"/>
  <c r="P226" i="2"/>
  <c r="P227" i="2" s="1"/>
  <c r="L227" i="3"/>
  <c r="F113" i="2"/>
  <c r="S111" i="3"/>
  <c r="S115" i="3" s="1"/>
  <c r="S127" i="5"/>
  <c r="S233" i="5" s="1"/>
  <c r="E242" i="5" s="1"/>
  <c r="S239" i="5"/>
  <c r="S80" i="4"/>
  <c r="R109" i="4"/>
  <c r="R234" i="4"/>
  <c r="R237" i="4" s="1"/>
  <c r="S158" i="3"/>
  <c r="R158" i="3"/>
  <c r="S151" i="3"/>
  <c r="R151" i="3"/>
  <c r="R121" i="3"/>
  <c r="S121" i="3"/>
  <c r="S37" i="3"/>
  <c r="S232" i="3"/>
  <c r="R229" i="3"/>
  <c r="R233" i="3" s="1"/>
  <c r="C228" i="2"/>
  <c r="O22" i="2"/>
  <c r="R22" i="2" s="1"/>
  <c r="S22" i="2" s="1"/>
  <c r="O25" i="2"/>
  <c r="R25" i="2" s="1"/>
  <c r="S25" i="2" s="1"/>
  <c r="P32" i="2"/>
  <c r="R32" i="2" s="1"/>
  <c r="S32" i="2" s="1"/>
  <c r="K57" i="2"/>
  <c r="L57" i="2" s="1"/>
  <c r="K105" i="2"/>
  <c r="I105" i="2"/>
  <c r="P44" i="2"/>
  <c r="I44" i="2"/>
  <c r="I45" i="2" s="1"/>
  <c r="K99" i="2"/>
  <c r="L99" i="2"/>
  <c r="K69" i="2"/>
  <c r="L69" i="2"/>
  <c r="R69" i="2" s="1"/>
  <c r="S69" i="2" s="1"/>
  <c r="K71" i="2"/>
  <c r="L71" i="2"/>
  <c r="R71" i="2" s="1"/>
  <c r="S71" i="2" s="1"/>
  <c r="K101" i="2"/>
  <c r="L101" i="2" s="1"/>
  <c r="K106" i="2"/>
  <c r="L106" i="2" s="1"/>
  <c r="R106" i="2" s="1"/>
  <c r="S106" i="2" s="1"/>
  <c r="P39" i="2"/>
  <c r="P40" i="2" s="1"/>
  <c r="R40" i="2" s="1"/>
  <c r="R29" i="2"/>
  <c r="S42" i="2"/>
  <c r="P53" i="2"/>
  <c r="R51" i="2"/>
  <c r="S51" i="2" s="1"/>
  <c r="K66" i="2"/>
  <c r="K73" i="2"/>
  <c r="K88" i="2"/>
  <c r="L88" i="2" s="1"/>
  <c r="R88" i="2" s="1"/>
  <c r="S88" i="2" s="1"/>
  <c r="E53" i="2"/>
  <c r="F109" i="2"/>
  <c r="L92" i="2"/>
  <c r="L96" i="2"/>
  <c r="R96" i="2" s="1"/>
  <c r="S96" i="2" s="1"/>
  <c r="K127" i="2"/>
  <c r="L127" i="2"/>
  <c r="K130" i="2"/>
  <c r="R130" i="2" s="1"/>
  <c r="S130" i="2" s="1"/>
  <c r="L130" i="2"/>
  <c r="I130" i="2"/>
  <c r="I134" i="2" s="1"/>
  <c r="J34" i="2"/>
  <c r="J37" i="2" s="1"/>
  <c r="G43" i="2"/>
  <c r="G53" i="2"/>
  <c r="E109" i="2"/>
  <c r="I120" i="2"/>
  <c r="R120" i="2" s="1"/>
  <c r="S120" i="2" s="1"/>
  <c r="K123" i="2"/>
  <c r="G134" i="2"/>
  <c r="L123" i="2"/>
  <c r="R123" i="2" s="1"/>
  <c r="G15" i="2"/>
  <c r="G27" i="2" s="1"/>
  <c r="H17" i="2"/>
  <c r="H19" i="2"/>
  <c r="R19" i="2" s="1"/>
  <c r="S19" i="2" s="1"/>
  <c r="H26" i="2"/>
  <c r="R14" i="2"/>
  <c r="R15" i="2"/>
  <c r="S15" i="2" s="1"/>
  <c r="R16" i="2"/>
  <c r="S16" i="2" s="1"/>
  <c r="K17" i="2"/>
  <c r="H20" i="2"/>
  <c r="R20" i="2" s="1"/>
  <c r="S20" i="2" s="1"/>
  <c r="H21" i="2"/>
  <c r="R21" i="2" s="1"/>
  <c r="S21" i="2" s="1"/>
  <c r="O23" i="2"/>
  <c r="H24" i="2"/>
  <c r="R24" i="2" s="1"/>
  <c r="S24" i="2" s="1"/>
  <c r="O26" i="2"/>
  <c r="E27" i="2"/>
  <c r="P35" i="2"/>
  <c r="R35" i="2" s="1"/>
  <c r="S35" i="2" s="1"/>
  <c r="P36" i="2"/>
  <c r="R36" i="2" s="1"/>
  <c r="S36" i="2" s="1"/>
  <c r="E37" i="2"/>
  <c r="G37" i="2" s="1"/>
  <c r="K47" i="2"/>
  <c r="K53" i="2" s="1"/>
  <c r="G55" i="2"/>
  <c r="L56" i="2"/>
  <c r="R56" i="2" s="1"/>
  <c r="S56" i="2" s="1"/>
  <c r="K62" i="2"/>
  <c r="L62" i="2" s="1"/>
  <c r="L64" i="2"/>
  <c r="R64" i="2" s="1"/>
  <c r="S64" i="2" s="1"/>
  <c r="K65" i="2"/>
  <c r="L65" i="2" s="1"/>
  <c r="K67" i="2"/>
  <c r="L67" i="2" s="1"/>
  <c r="L68" i="2"/>
  <c r="R68" i="2" s="1"/>
  <c r="S68" i="2" s="1"/>
  <c r="L70" i="2"/>
  <c r="R70" i="2" s="1"/>
  <c r="S70" i="2" s="1"/>
  <c r="K74" i="2"/>
  <c r="R74" i="2" s="1"/>
  <c r="S74" i="2" s="1"/>
  <c r="G75" i="2"/>
  <c r="I76" i="2"/>
  <c r="L76" i="2" s="1"/>
  <c r="K82" i="2"/>
  <c r="L82" i="2" s="1"/>
  <c r="K83" i="2"/>
  <c r="L83" i="2" s="1"/>
  <c r="R83" i="2" s="1"/>
  <c r="S83" i="2" s="1"/>
  <c r="K84" i="2"/>
  <c r="L84" i="2" s="1"/>
  <c r="K85" i="2"/>
  <c r="K86" i="2"/>
  <c r="L86" i="2" s="1"/>
  <c r="K87" i="2"/>
  <c r="L87" i="2" s="1"/>
  <c r="R92" i="2"/>
  <c r="S92" i="2" s="1"/>
  <c r="R93" i="2"/>
  <c r="S93" i="2" s="1"/>
  <c r="L94" i="2"/>
  <c r="R94" i="2" s="1"/>
  <c r="S94" i="2" s="1"/>
  <c r="L95" i="2"/>
  <c r="R95" i="2" s="1"/>
  <c r="S95" i="2" s="1"/>
  <c r="K98" i="2"/>
  <c r="K103" i="2"/>
  <c r="I108" i="2"/>
  <c r="R108" i="2" s="1"/>
  <c r="S108" i="2" s="1"/>
  <c r="G112" i="2"/>
  <c r="H23" i="2"/>
  <c r="G63" i="2"/>
  <c r="G89" i="2"/>
  <c r="L90" i="2"/>
  <c r="R90" i="2" s="1"/>
  <c r="S90" i="2" s="1"/>
  <c r="L98" i="2"/>
  <c r="I103" i="2"/>
  <c r="I109" i="2" s="1"/>
  <c r="K104" i="2"/>
  <c r="L104" i="2" s="1"/>
  <c r="R107" i="2"/>
  <c r="S107" i="2" s="1"/>
  <c r="P108" i="2"/>
  <c r="P109" i="2" s="1"/>
  <c r="I111" i="2"/>
  <c r="K113" i="2"/>
  <c r="K119" i="2"/>
  <c r="E134" i="2"/>
  <c r="F147" i="2"/>
  <c r="F151" i="2" s="1"/>
  <c r="L148" i="2"/>
  <c r="R148" i="2" s="1"/>
  <c r="S148" i="2" s="1"/>
  <c r="K148" i="2"/>
  <c r="K154" i="2"/>
  <c r="L154" i="2" s="1"/>
  <c r="R154" i="2" s="1"/>
  <c r="S154" i="2" s="1"/>
  <c r="P156" i="2"/>
  <c r="I156" i="2"/>
  <c r="I158" i="2" s="1"/>
  <c r="L167" i="2"/>
  <c r="R167" i="2" s="1"/>
  <c r="G117" i="2"/>
  <c r="K124" i="2"/>
  <c r="R124" i="2" s="1"/>
  <c r="S124" i="2" s="1"/>
  <c r="L128" i="2"/>
  <c r="R128" i="2" s="1"/>
  <c r="S128" i="2" s="1"/>
  <c r="K129" i="2"/>
  <c r="L129" i="2" s="1"/>
  <c r="R133" i="2"/>
  <c r="S133" i="2" s="1"/>
  <c r="F134" i="2"/>
  <c r="P142" i="2"/>
  <c r="I142" i="2"/>
  <c r="I145" i="2" s="1"/>
  <c r="P143" i="2"/>
  <c r="R143" i="2" s="1"/>
  <c r="S143" i="2" s="1"/>
  <c r="R170" i="2"/>
  <c r="S170" i="2" s="1"/>
  <c r="P204" i="2"/>
  <c r="R203" i="2"/>
  <c r="P209" i="2"/>
  <c r="R207" i="2"/>
  <c r="S207" i="2" s="1"/>
  <c r="K215" i="2"/>
  <c r="K221" i="2"/>
  <c r="K223" i="2" s="1"/>
  <c r="K225" i="2"/>
  <c r="K227" i="2" s="1"/>
  <c r="L124" i="2"/>
  <c r="R132" i="2"/>
  <c r="S132" i="2" s="1"/>
  <c r="G138" i="2"/>
  <c r="L136" i="2"/>
  <c r="L138" i="2" s="1"/>
  <c r="L141" i="2"/>
  <c r="R141" i="2" s="1"/>
  <c r="S141" i="2" s="1"/>
  <c r="E151" i="2"/>
  <c r="L155" i="2"/>
  <c r="K155" i="2"/>
  <c r="P157" i="2"/>
  <c r="R157" i="2" s="1"/>
  <c r="S157" i="2" s="1"/>
  <c r="K168" i="2"/>
  <c r="L168" i="2" s="1"/>
  <c r="R168" i="2" s="1"/>
  <c r="S168" i="2" s="1"/>
  <c r="E174" i="2"/>
  <c r="G171" i="2"/>
  <c r="P188" i="2"/>
  <c r="P190" i="2" s="1"/>
  <c r="I188" i="2"/>
  <c r="K204" i="2"/>
  <c r="L202" i="2"/>
  <c r="L204" i="2" s="1"/>
  <c r="F140" i="2"/>
  <c r="F145" i="2" s="1"/>
  <c r="E145" i="2"/>
  <c r="G145" i="2" s="1"/>
  <c r="R150" i="2"/>
  <c r="S150" i="2" s="1"/>
  <c r="I151" i="2"/>
  <c r="K169" i="2"/>
  <c r="L169" i="2"/>
  <c r="R169" i="2" s="1"/>
  <c r="S169" i="2" s="1"/>
  <c r="K185" i="2"/>
  <c r="P195" i="2"/>
  <c r="R193" i="2"/>
  <c r="S193" i="2" s="1"/>
  <c r="K209" i="2"/>
  <c r="G219" i="2"/>
  <c r="G223" i="2"/>
  <c r="R137" i="2"/>
  <c r="S137" i="2" s="1"/>
  <c r="F160" i="2"/>
  <c r="F165" i="2" s="1"/>
  <c r="L170" i="2"/>
  <c r="P172" i="2"/>
  <c r="P174" i="2" s="1"/>
  <c r="E179" i="2"/>
  <c r="F176" i="2"/>
  <c r="F179" i="2" s="1"/>
  <c r="I183" i="2"/>
  <c r="L187" i="2"/>
  <c r="L190" i="2" s="1"/>
  <c r="K190" i="2"/>
  <c r="L197" i="2"/>
  <c r="L200" i="2" s="1"/>
  <c r="G153" i="2"/>
  <c r="K161" i="2"/>
  <c r="L161" i="2" s="1"/>
  <c r="K162" i="2"/>
  <c r="P163" i="2"/>
  <c r="E165" i="2"/>
  <c r="R172" i="2"/>
  <c r="S172" i="2" s="1"/>
  <c r="F174" i="2"/>
  <c r="K177" i="2"/>
  <c r="I178" i="2"/>
  <c r="L192" i="2"/>
  <c r="P200" i="2"/>
  <c r="L206" i="2"/>
  <c r="L209" i="2" s="1"/>
  <c r="I212" i="2"/>
  <c r="R214" i="2"/>
  <c r="S214" i="2" s="1"/>
  <c r="R218" i="2"/>
  <c r="R222" i="2"/>
  <c r="S222" i="2" s="1"/>
  <c r="I114" i="2" l="1"/>
  <c r="R114" i="2" s="1"/>
  <c r="S114" i="2" s="1"/>
  <c r="I113" i="2"/>
  <c r="L113" i="2" s="1"/>
  <c r="R113" i="2" s="1"/>
  <c r="S113" i="2" s="1"/>
  <c r="F115" i="2"/>
  <c r="G115" i="2" s="1"/>
  <c r="O27" i="2"/>
  <c r="O228" i="2" s="1"/>
  <c r="R227" i="3"/>
  <c r="I200" i="2"/>
  <c r="R198" i="2"/>
  <c r="S198" i="2" s="1"/>
  <c r="L72" i="2"/>
  <c r="R72" i="2" s="1"/>
  <c r="S72" i="2" s="1"/>
  <c r="R100" i="2"/>
  <c r="S100" i="2" s="1"/>
  <c r="R226" i="2"/>
  <c r="S226" i="2" s="1"/>
  <c r="S227" i="2" s="1"/>
  <c r="I115" i="2"/>
  <c r="R98" i="2"/>
  <c r="S98" i="2" s="1"/>
  <c r="R127" i="2"/>
  <c r="S127" i="2" s="1"/>
  <c r="R197" i="2"/>
  <c r="S197" i="2" s="1"/>
  <c r="S200" i="2" s="1"/>
  <c r="P145" i="2"/>
  <c r="P77" i="2"/>
  <c r="P80" i="2" s="1"/>
  <c r="I77" i="2"/>
  <c r="R77" i="2" s="1"/>
  <c r="R99" i="2"/>
  <c r="S99" i="2" s="1"/>
  <c r="R58" i="2"/>
  <c r="S58" i="2" s="1"/>
  <c r="R129" i="2"/>
  <c r="S129" i="2" s="1"/>
  <c r="R82" i="2"/>
  <c r="S82" i="2" s="1"/>
  <c r="L105" i="2"/>
  <c r="L91" i="2"/>
  <c r="R91" i="2" s="1"/>
  <c r="S91" i="2" s="1"/>
  <c r="S234" i="4"/>
  <c r="S237" i="4" s="1"/>
  <c r="S109" i="4"/>
  <c r="S227" i="3"/>
  <c r="E236" i="3" s="1"/>
  <c r="S229" i="3"/>
  <c r="S233" i="3" s="1"/>
  <c r="R23" i="2"/>
  <c r="S23" i="2" s="1"/>
  <c r="R26" i="2"/>
  <c r="S26" i="2" s="1"/>
  <c r="I179" i="2"/>
  <c r="R178" i="2"/>
  <c r="S178" i="2" s="1"/>
  <c r="K171" i="2"/>
  <c r="K174" i="2" s="1"/>
  <c r="L89" i="2"/>
  <c r="K89" i="2"/>
  <c r="S218" i="2"/>
  <c r="S219" i="2" s="1"/>
  <c r="R219" i="2"/>
  <c r="K179" i="2"/>
  <c r="L177" i="2"/>
  <c r="R177" i="2" s="1"/>
  <c r="S177" i="2" s="1"/>
  <c r="K153" i="2"/>
  <c r="K158" i="2" s="1"/>
  <c r="I185" i="2"/>
  <c r="R183" i="2"/>
  <c r="R206" i="2"/>
  <c r="G174" i="2"/>
  <c r="G151" i="2"/>
  <c r="L221" i="2"/>
  <c r="L223" i="2" s="1"/>
  <c r="R204" i="2"/>
  <c r="S203" i="2"/>
  <c r="S204" i="2" s="1"/>
  <c r="R136" i="2"/>
  <c r="P158" i="2"/>
  <c r="G147" i="2"/>
  <c r="R86" i="2"/>
  <c r="S86" i="2" s="1"/>
  <c r="K63" i="2"/>
  <c r="K80" i="2" s="1"/>
  <c r="I75" i="2"/>
  <c r="I80" i="2" s="1"/>
  <c r="K75" i="2"/>
  <c r="K27" i="2"/>
  <c r="R17" i="2"/>
  <c r="R27" i="2" s="1"/>
  <c r="R76" i="2"/>
  <c r="S76" i="2" s="1"/>
  <c r="P43" i="2"/>
  <c r="P45" i="2" s="1"/>
  <c r="G45" i="2"/>
  <c r="J43" i="2"/>
  <c r="J45" i="2" s="1"/>
  <c r="J228" i="2" s="1"/>
  <c r="S77" i="2"/>
  <c r="P37" i="2"/>
  <c r="L47" i="2"/>
  <c r="L53" i="2" s="1"/>
  <c r="R57" i="2"/>
  <c r="S57" i="2" s="1"/>
  <c r="L162" i="2"/>
  <c r="R162" i="2" s="1"/>
  <c r="S162" i="2" s="1"/>
  <c r="G179" i="2"/>
  <c r="K112" i="2"/>
  <c r="K115" i="2" s="1"/>
  <c r="R200" i="2"/>
  <c r="G176" i="2"/>
  <c r="P165" i="2"/>
  <c r="R163" i="2"/>
  <c r="S163" i="2" s="1"/>
  <c r="G160" i="2"/>
  <c r="G140" i="2"/>
  <c r="R188" i="2"/>
  <c r="S188" i="2" s="1"/>
  <c r="I190" i="2"/>
  <c r="R142" i="2"/>
  <c r="S142" i="2" s="1"/>
  <c r="L225" i="2"/>
  <c r="L227" i="2" s="1"/>
  <c r="R221" i="2"/>
  <c r="R156" i="2"/>
  <c r="S156" i="2" s="1"/>
  <c r="L119" i="2"/>
  <c r="R119" i="2" s="1"/>
  <c r="S119" i="2" s="1"/>
  <c r="L85" i="2"/>
  <c r="R85" i="2" s="1"/>
  <c r="S85" i="2" s="1"/>
  <c r="L111" i="2"/>
  <c r="R111" i="2" s="1"/>
  <c r="R104" i="2"/>
  <c r="S104" i="2" s="1"/>
  <c r="K55" i="2"/>
  <c r="K59" i="2" s="1"/>
  <c r="G59" i="2"/>
  <c r="K134" i="2"/>
  <c r="R67" i="2"/>
  <c r="S67" i="2" s="1"/>
  <c r="I121" i="2"/>
  <c r="R87" i="2"/>
  <c r="S87" i="2" s="1"/>
  <c r="R47" i="2"/>
  <c r="L66" i="2"/>
  <c r="R66" i="2" s="1"/>
  <c r="S66" i="2" s="1"/>
  <c r="R101" i="2"/>
  <c r="S101" i="2" s="1"/>
  <c r="L195" i="2"/>
  <c r="R192" i="2"/>
  <c r="R155" i="2"/>
  <c r="S155" i="2" s="1"/>
  <c r="R225" i="2"/>
  <c r="R227" i="2" s="1"/>
  <c r="R187" i="2"/>
  <c r="L117" i="2"/>
  <c r="L121" i="2" s="1"/>
  <c r="K117" i="2"/>
  <c r="K121" i="2" s="1"/>
  <c r="G121" i="2"/>
  <c r="S167" i="2"/>
  <c r="K109" i="2"/>
  <c r="E228" i="2"/>
  <c r="H27" i="2"/>
  <c r="H228" i="2" s="1"/>
  <c r="L134" i="2"/>
  <c r="G109" i="2"/>
  <c r="R84" i="2"/>
  <c r="S84" i="2" s="1"/>
  <c r="R65" i="2"/>
  <c r="S65" i="2" s="1"/>
  <c r="L73" i="2"/>
  <c r="R73" i="2" s="1"/>
  <c r="S73" i="2" s="1"/>
  <c r="R39" i="2"/>
  <c r="S39" i="2" s="1"/>
  <c r="S40" i="2" s="1"/>
  <c r="R44" i="2"/>
  <c r="S44" i="2" s="1"/>
  <c r="R105" i="2"/>
  <c r="S105" i="2" s="1"/>
  <c r="I215" i="2"/>
  <c r="L212" i="2"/>
  <c r="L215" i="2" s="1"/>
  <c r="R161" i="2"/>
  <c r="S161" i="2" s="1"/>
  <c r="L103" i="2"/>
  <c r="S14" i="2"/>
  <c r="S123" i="2"/>
  <c r="S134" i="2" s="1"/>
  <c r="R134" i="2"/>
  <c r="G80" i="2"/>
  <c r="R62" i="2"/>
  <c r="S29" i="2"/>
  <c r="R103" i="2"/>
  <c r="S103" i="2" s="1"/>
  <c r="R34" i="2"/>
  <c r="S34" i="2" s="1"/>
  <c r="N136" i="1"/>
  <c r="O19" i="1"/>
  <c r="C214" i="1"/>
  <c r="Q232" i="1"/>
  <c r="Q231" i="1"/>
  <c r="Q230" i="1"/>
  <c r="Q229" i="1"/>
  <c r="C232" i="1"/>
  <c r="C231" i="1"/>
  <c r="C230" i="1"/>
  <c r="E213" i="1"/>
  <c r="E170" i="1"/>
  <c r="E154" i="1"/>
  <c r="E153" i="1"/>
  <c r="E152" i="1"/>
  <c r="E147" i="1"/>
  <c r="E142" i="1"/>
  <c r="E136" i="1"/>
  <c r="N135" i="1"/>
  <c r="E135" i="1"/>
  <c r="L171" i="2" l="1"/>
  <c r="L174" i="2" s="1"/>
  <c r="F228" i="2"/>
  <c r="L109" i="2"/>
  <c r="L55" i="2"/>
  <c r="L59" i="2" s="1"/>
  <c r="R89" i="2"/>
  <c r="S89" i="2" s="1"/>
  <c r="S109" i="2" s="1"/>
  <c r="R59" i="2"/>
  <c r="S231" i="4"/>
  <c r="E240" i="4" s="1"/>
  <c r="R37" i="2"/>
  <c r="S37" i="2"/>
  <c r="S221" i="2"/>
  <c r="S223" i="2" s="1"/>
  <c r="R223" i="2"/>
  <c r="R43" i="2"/>
  <c r="R233" i="2" s="1"/>
  <c r="L75" i="2"/>
  <c r="R75" i="2" s="1"/>
  <c r="S75" i="2" s="1"/>
  <c r="L63" i="2"/>
  <c r="R138" i="2"/>
  <c r="S136" i="2"/>
  <c r="S138" i="2" s="1"/>
  <c r="R195" i="2"/>
  <c r="S192" i="2"/>
  <c r="S195" i="2" s="1"/>
  <c r="R53" i="2"/>
  <c r="S47" i="2"/>
  <c r="L140" i="2"/>
  <c r="L145" i="2" s="1"/>
  <c r="K140" i="2"/>
  <c r="K145" i="2" s="1"/>
  <c r="P228" i="2"/>
  <c r="S17" i="2"/>
  <c r="I228" i="2"/>
  <c r="L147" i="2"/>
  <c r="L151" i="2" s="1"/>
  <c r="K147" i="2"/>
  <c r="K151" i="2" s="1"/>
  <c r="R117" i="2"/>
  <c r="S187" i="2"/>
  <c r="S190" i="2" s="1"/>
  <c r="R190" i="2"/>
  <c r="K160" i="2"/>
  <c r="K165" i="2" s="1"/>
  <c r="K228" i="2" s="1"/>
  <c r="G165" i="2"/>
  <c r="G228" i="2" s="1"/>
  <c r="L176" i="2"/>
  <c r="L179" i="2" s="1"/>
  <c r="L112" i="2"/>
  <c r="R112" i="2" s="1"/>
  <c r="S112" i="2" s="1"/>
  <c r="R209" i="2"/>
  <c r="S206" i="2"/>
  <c r="S209" i="2" s="1"/>
  <c r="L153" i="2"/>
  <c r="L158" i="2" s="1"/>
  <c r="S62" i="2"/>
  <c r="S27" i="2"/>
  <c r="R115" i="2"/>
  <c r="S111" i="2"/>
  <c r="S115" i="2" s="1"/>
  <c r="R232" i="2"/>
  <c r="R185" i="2"/>
  <c r="S183" i="2"/>
  <c r="S185" i="2" s="1"/>
  <c r="R212" i="2"/>
  <c r="E132" i="1"/>
  <c r="E129" i="1"/>
  <c r="E126" i="1"/>
  <c r="N119" i="1"/>
  <c r="N118" i="1"/>
  <c r="E118" i="1"/>
  <c r="C114" i="1"/>
  <c r="E107" i="1"/>
  <c r="E105" i="1"/>
  <c r="E103" i="1"/>
  <c r="E88" i="1"/>
  <c r="N76" i="1"/>
  <c r="E76" i="1"/>
  <c r="E74" i="1"/>
  <c r="E47" i="1"/>
  <c r="G47" i="1" s="1"/>
  <c r="P47" i="1" s="1"/>
  <c r="R147" i="2" l="1"/>
  <c r="R171" i="2"/>
  <c r="S171" i="2" s="1"/>
  <c r="S174" i="2" s="1"/>
  <c r="R55" i="2"/>
  <c r="S55" i="2" s="1"/>
  <c r="S59" i="2" s="1"/>
  <c r="R109" i="2"/>
  <c r="R140" i="2"/>
  <c r="R145" i="2" s="1"/>
  <c r="R153" i="2"/>
  <c r="L80" i="2"/>
  <c r="R121" i="2"/>
  <c r="S117" i="2"/>
  <c r="S121" i="2" s="1"/>
  <c r="R231" i="2"/>
  <c r="S140" i="2"/>
  <c r="S145" i="2" s="1"/>
  <c r="R174" i="2"/>
  <c r="R176" i="2"/>
  <c r="R151" i="2"/>
  <c r="S147" i="2"/>
  <c r="S151" i="2" s="1"/>
  <c r="S53" i="2"/>
  <c r="S43" i="2"/>
  <c r="S233" i="2" s="1"/>
  <c r="R45" i="2"/>
  <c r="L115" i="2"/>
  <c r="R215" i="2"/>
  <c r="S212" i="2"/>
  <c r="S215" i="2" s="1"/>
  <c r="S232" i="2"/>
  <c r="L160" i="2"/>
  <c r="L165" i="2" s="1"/>
  <c r="R63" i="2"/>
  <c r="E43" i="1"/>
  <c r="E42" i="1"/>
  <c r="E38" i="1"/>
  <c r="E32" i="1"/>
  <c r="E26" i="1"/>
  <c r="E23" i="1"/>
  <c r="E19" i="1"/>
  <c r="S231" i="2" l="1"/>
  <c r="R160" i="2"/>
  <c r="R230" i="2" s="1"/>
  <c r="R234" i="2" s="1"/>
  <c r="S45" i="2"/>
  <c r="S63" i="2"/>
  <c r="R80" i="2"/>
  <c r="R179" i="2"/>
  <c r="S176" i="2"/>
  <c r="S179" i="2" s="1"/>
  <c r="L228" i="2"/>
  <c r="R158" i="2"/>
  <c r="S153" i="2"/>
  <c r="S158" i="2" s="1"/>
  <c r="Q233" i="1"/>
  <c r="F226" i="1"/>
  <c r="E226" i="1"/>
  <c r="C226" i="1"/>
  <c r="G225" i="1"/>
  <c r="P225" i="1" s="1"/>
  <c r="P226" i="1" s="1"/>
  <c r="G224" i="1"/>
  <c r="K224" i="1" s="1"/>
  <c r="F222" i="1"/>
  <c r="E222" i="1"/>
  <c r="C222" i="1"/>
  <c r="G221" i="1"/>
  <c r="G220" i="1"/>
  <c r="K220" i="1" s="1"/>
  <c r="F218" i="1"/>
  <c r="E218" i="1"/>
  <c r="C218" i="1"/>
  <c r="G217" i="1"/>
  <c r="S216" i="1"/>
  <c r="G216" i="1"/>
  <c r="K216" i="1" s="1"/>
  <c r="F214" i="1"/>
  <c r="E214" i="1"/>
  <c r="G213" i="1"/>
  <c r="G212" i="1"/>
  <c r="P212" i="1" s="1"/>
  <c r="G211" i="1"/>
  <c r="K211" i="1" s="1"/>
  <c r="S210" i="1"/>
  <c r="G210" i="1"/>
  <c r="K210" i="1" s="1"/>
  <c r="F208" i="1"/>
  <c r="E208" i="1"/>
  <c r="C208" i="1"/>
  <c r="G207" i="1"/>
  <c r="P207" i="1" s="1"/>
  <c r="R207" i="1" s="1"/>
  <c r="S207" i="1" s="1"/>
  <c r="G206" i="1"/>
  <c r="G205" i="1"/>
  <c r="K205" i="1" s="1"/>
  <c r="F203" i="1"/>
  <c r="E203" i="1"/>
  <c r="C203" i="1"/>
  <c r="G202" i="1"/>
  <c r="S201" i="1"/>
  <c r="G201" i="1"/>
  <c r="K201" i="1" s="1"/>
  <c r="F199" i="1"/>
  <c r="E199" i="1"/>
  <c r="C199" i="1"/>
  <c r="G198" i="1"/>
  <c r="P198" i="1" s="1"/>
  <c r="R198" i="1" s="1"/>
  <c r="S198" i="1" s="1"/>
  <c r="G197" i="1"/>
  <c r="P197" i="1" s="1"/>
  <c r="G196" i="1"/>
  <c r="F194" i="1"/>
  <c r="E194" i="1"/>
  <c r="C194" i="1"/>
  <c r="G193" i="1"/>
  <c r="P193" i="1" s="1"/>
  <c r="R193" i="1" s="1"/>
  <c r="S193" i="1" s="1"/>
  <c r="G192" i="1"/>
  <c r="P192" i="1" s="1"/>
  <c r="G191" i="1"/>
  <c r="E189" i="1"/>
  <c r="G189" i="1" s="1"/>
  <c r="C189" i="1"/>
  <c r="G188" i="1"/>
  <c r="P188" i="1" s="1"/>
  <c r="R188" i="1" s="1"/>
  <c r="S188" i="1" s="1"/>
  <c r="G187" i="1"/>
  <c r="I187" i="1" s="1"/>
  <c r="G186" i="1"/>
  <c r="E184" i="1"/>
  <c r="G184" i="1" s="1"/>
  <c r="C184" i="1"/>
  <c r="G183" i="1"/>
  <c r="P183" i="1" s="1"/>
  <c r="R183" i="1" s="1"/>
  <c r="S183" i="1" s="1"/>
  <c r="G182" i="1"/>
  <c r="P182" i="1" s="1"/>
  <c r="S181" i="1"/>
  <c r="G181" i="1"/>
  <c r="K181" i="1" s="1"/>
  <c r="L181" i="1" s="1"/>
  <c r="L184" i="1" s="1"/>
  <c r="M178" i="1"/>
  <c r="C178" i="1"/>
  <c r="G177" i="1"/>
  <c r="I177" i="1" s="1"/>
  <c r="G176" i="1"/>
  <c r="K176" i="1" s="1"/>
  <c r="E175" i="1"/>
  <c r="O173" i="1"/>
  <c r="C173" i="1"/>
  <c r="G172" i="1"/>
  <c r="G171" i="1"/>
  <c r="G170" i="1"/>
  <c r="G169" i="1"/>
  <c r="G168" i="1"/>
  <c r="E167" i="1"/>
  <c r="G167" i="1" s="1"/>
  <c r="F166" i="1"/>
  <c r="F173" i="1" s="1"/>
  <c r="O164" i="1"/>
  <c r="C164" i="1"/>
  <c r="G163" i="1"/>
  <c r="G162" i="1"/>
  <c r="I162" i="1" s="1"/>
  <c r="I164" i="1" s="1"/>
  <c r="G161" i="1"/>
  <c r="K161" i="1" s="1"/>
  <c r="G160" i="1"/>
  <c r="K160" i="1" s="1"/>
  <c r="E159" i="1"/>
  <c r="E164" i="1" s="1"/>
  <c r="O157" i="1"/>
  <c r="M157" i="1"/>
  <c r="E157" i="1"/>
  <c r="C157" i="1"/>
  <c r="G156" i="1"/>
  <c r="P156" i="1" s="1"/>
  <c r="R156" i="1" s="1"/>
  <c r="S156" i="1" s="1"/>
  <c r="G155" i="1"/>
  <c r="I155" i="1" s="1"/>
  <c r="I157" i="1" s="1"/>
  <c r="G154" i="1"/>
  <c r="G153" i="1"/>
  <c r="F152" i="1"/>
  <c r="F157" i="1" s="1"/>
  <c r="O150" i="1"/>
  <c r="M150" i="1"/>
  <c r="C150" i="1"/>
  <c r="G149" i="1"/>
  <c r="I149" i="1" s="1"/>
  <c r="I150" i="1" s="1"/>
  <c r="G148" i="1"/>
  <c r="K148" i="1" s="1"/>
  <c r="G147" i="1"/>
  <c r="E146" i="1"/>
  <c r="E150" i="1" s="1"/>
  <c r="C144" i="1"/>
  <c r="G143" i="1"/>
  <c r="G142" i="1"/>
  <c r="P142" i="1" s="1"/>
  <c r="G141" i="1"/>
  <c r="P141" i="1" s="1"/>
  <c r="G140" i="1"/>
  <c r="K140" i="1" s="1"/>
  <c r="L140" i="1" s="1"/>
  <c r="E139" i="1"/>
  <c r="N137" i="1"/>
  <c r="E137" i="1"/>
  <c r="C137" i="1"/>
  <c r="G136" i="1"/>
  <c r="P136" i="1" s="1"/>
  <c r="G135" i="1"/>
  <c r="O133" i="1"/>
  <c r="M133" i="1"/>
  <c r="E133" i="1"/>
  <c r="C133" i="1"/>
  <c r="G132" i="1"/>
  <c r="G131" i="1"/>
  <c r="G130" i="1"/>
  <c r="G129" i="1"/>
  <c r="G128" i="1"/>
  <c r="G127" i="1"/>
  <c r="K127" i="1" s="1"/>
  <c r="G126" i="1"/>
  <c r="F123" i="1"/>
  <c r="G123" i="1" s="1"/>
  <c r="K123" i="1" s="1"/>
  <c r="F122" i="1"/>
  <c r="G122" i="1" s="1"/>
  <c r="K122" i="1" s="1"/>
  <c r="N120" i="1"/>
  <c r="C120" i="1"/>
  <c r="E119" i="1"/>
  <c r="F118" i="1"/>
  <c r="G118" i="1" s="1"/>
  <c r="E117" i="1"/>
  <c r="F117" i="1" s="1"/>
  <c r="G117" i="1" s="1"/>
  <c r="K117" i="1" s="1"/>
  <c r="E116" i="1"/>
  <c r="F116" i="1" s="1"/>
  <c r="E113" i="1"/>
  <c r="F113" i="1" s="1"/>
  <c r="G113" i="1" s="1"/>
  <c r="I113" i="1" s="1"/>
  <c r="E112" i="1"/>
  <c r="F112" i="1" s="1"/>
  <c r="G112" i="1" s="1"/>
  <c r="K112" i="1" s="1"/>
  <c r="F111" i="1"/>
  <c r="G111" i="1" s="1"/>
  <c r="K111" i="1" s="1"/>
  <c r="F110" i="1"/>
  <c r="C108" i="1"/>
  <c r="G107" i="1"/>
  <c r="P107" i="1" s="1"/>
  <c r="G106" i="1"/>
  <c r="P106" i="1" s="1"/>
  <c r="F105" i="1"/>
  <c r="G105" i="1" s="1"/>
  <c r="E104" i="1"/>
  <c r="G104" i="1" s="1"/>
  <c r="G103" i="1"/>
  <c r="G102" i="1"/>
  <c r="K102" i="1" s="1"/>
  <c r="F101" i="1"/>
  <c r="G101" i="1" s="1"/>
  <c r="E100" i="1"/>
  <c r="G99" i="1"/>
  <c r="K99" i="1" s="1"/>
  <c r="E98" i="1"/>
  <c r="G98" i="1" s="1"/>
  <c r="K98" i="1" s="1"/>
  <c r="E97" i="1"/>
  <c r="G97" i="1" s="1"/>
  <c r="K97" i="1" s="1"/>
  <c r="G96" i="1"/>
  <c r="K96" i="1" s="1"/>
  <c r="G95" i="1"/>
  <c r="K95" i="1" s="1"/>
  <c r="G94" i="1"/>
  <c r="K94" i="1" s="1"/>
  <c r="G93" i="1"/>
  <c r="K93" i="1" s="1"/>
  <c r="G92" i="1"/>
  <c r="K92" i="1" s="1"/>
  <c r="E91" i="1"/>
  <c r="G91" i="1" s="1"/>
  <c r="K91" i="1" s="1"/>
  <c r="F90" i="1"/>
  <c r="G90" i="1" s="1"/>
  <c r="G89" i="1"/>
  <c r="K89" i="1" s="1"/>
  <c r="F88" i="1"/>
  <c r="G88" i="1" s="1"/>
  <c r="F87" i="1"/>
  <c r="G87" i="1" s="1"/>
  <c r="K87" i="1" s="1"/>
  <c r="E86" i="1"/>
  <c r="G85" i="1"/>
  <c r="K85" i="1" s="1"/>
  <c r="G84" i="1"/>
  <c r="K84" i="1" s="1"/>
  <c r="F83" i="1"/>
  <c r="G83" i="1" s="1"/>
  <c r="K83" i="1" s="1"/>
  <c r="G82" i="1"/>
  <c r="K82" i="1" s="1"/>
  <c r="F81" i="1"/>
  <c r="G81" i="1" s="1"/>
  <c r="K81" i="1" s="1"/>
  <c r="C79" i="1"/>
  <c r="G78" i="1"/>
  <c r="P78" i="1" s="1"/>
  <c r="R78" i="1" s="1"/>
  <c r="S78" i="1" s="1"/>
  <c r="G77" i="1"/>
  <c r="G76" i="1"/>
  <c r="G75" i="1"/>
  <c r="K75" i="1" s="1"/>
  <c r="N74" i="1"/>
  <c r="G74" i="1"/>
  <c r="F73" i="1"/>
  <c r="G73" i="1" s="1"/>
  <c r="K73" i="1" s="1"/>
  <c r="E72" i="1"/>
  <c r="G72" i="1" s="1"/>
  <c r="K72" i="1" s="1"/>
  <c r="N71" i="1"/>
  <c r="E71" i="1"/>
  <c r="G71" i="1" s="1"/>
  <c r="K71" i="1" s="1"/>
  <c r="E70" i="1"/>
  <c r="G70" i="1" s="1"/>
  <c r="K70" i="1" s="1"/>
  <c r="E69" i="1"/>
  <c r="G69" i="1" s="1"/>
  <c r="K69" i="1" s="1"/>
  <c r="E68" i="1"/>
  <c r="G68" i="1" s="1"/>
  <c r="K68" i="1" s="1"/>
  <c r="E67" i="1"/>
  <c r="G67" i="1" s="1"/>
  <c r="K67" i="1" s="1"/>
  <c r="N66" i="1"/>
  <c r="E66" i="1"/>
  <c r="G66" i="1" s="1"/>
  <c r="K66" i="1" s="1"/>
  <c r="E65" i="1"/>
  <c r="G65" i="1" s="1"/>
  <c r="K65" i="1" s="1"/>
  <c r="G64" i="1"/>
  <c r="K64" i="1" s="1"/>
  <c r="G63" i="1"/>
  <c r="K63" i="1" s="1"/>
  <c r="E62" i="1"/>
  <c r="F61" i="1"/>
  <c r="G61" i="1" s="1"/>
  <c r="K61" i="1" s="1"/>
  <c r="Q58" i="1"/>
  <c r="G57" i="1"/>
  <c r="P57" i="1" s="1"/>
  <c r="P58" i="1" s="1"/>
  <c r="F56" i="1"/>
  <c r="G56" i="1" s="1"/>
  <c r="F55" i="1"/>
  <c r="G55" i="1" s="1"/>
  <c r="K55" i="1" s="1"/>
  <c r="E54" i="1"/>
  <c r="C52" i="1"/>
  <c r="G51" i="1"/>
  <c r="G50" i="1"/>
  <c r="P50" i="1" s="1"/>
  <c r="O49" i="1"/>
  <c r="R49" i="1" s="1"/>
  <c r="S49" i="1" s="1"/>
  <c r="K48" i="1"/>
  <c r="E46" i="1"/>
  <c r="E44" i="1"/>
  <c r="C44" i="1"/>
  <c r="G43" i="1"/>
  <c r="P43" i="1" s="1"/>
  <c r="G42" i="1"/>
  <c r="P41" i="1"/>
  <c r="R41" i="1" s="1"/>
  <c r="E39" i="1"/>
  <c r="C39" i="1"/>
  <c r="G38" i="1"/>
  <c r="P38" i="1" s="1"/>
  <c r="I36" i="1"/>
  <c r="E36" i="1"/>
  <c r="C36" i="1"/>
  <c r="G35" i="1"/>
  <c r="P35" i="1" s="1"/>
  <c r="R35" i="1" s="1"/>
  <c r="S35" i="1" s="1"/>
  <c r="G34" i="1"/>
  <c r="P34" i="1" s="1"/>
  <c r="P33" i="1"/>
  <c r="F33" i="1"/>
  <c r="F36" i="1" s="1"/>
  <c r="G32" i="1"/>
  <c r="P32" i="1" s="1"/>
  <c r="G31" i="1"/>
  <c r="P31" i="1" s="1"/>
  <c r="G30" i="1"/>
  <c r="P30" i="1" s="1"/>
  <c r="G29" i="1"/>
  <c r="P29" i="1" s="1"/>
  <c r="C27" i="1"/>
  <c r="G26" i="1"/>
  <c r="G25" i="1"/>
  <c r="G24" i="1"/>
  <c r="O24" i="1" s="1"/>
  <c r="G23" i="1"/>
  <c r="H23" i="1" s="1"/>
  <c r="G22" i="1"/>
  <c r="G21" i="1"/>
  <c r="O21" i="1" s="1"/>
  <c r="G20" i="1"/>
  <c r="H20" i="1" s="1"/>
  <c r="R20" i="1" s="1"/>
  <c r="S20" i="1" s="1"/>
  <c r="G19" i="1"/>
  <c r="H19" i="1" s="1"/>
  <c r="R19" i="1" s="1"/>
  <c r="E18" i="1"/>
  <c r="G18" i="1" s="1"/>
  <c r="G17" i="1"/>
  <c r="O17" i="1" s="1"/>
  <c r="E16" i="1"/>
  <c r="E15" i="1"/>
  <c r="E232" i="1" s="1"/>
  <c r="O14" i="1"/>
  <c r="M14" i="1"/>
  <c r="S41" i="1" l="1"/>
  <c r="L118" i="1"/>
  <c r="C227" i="1"/>
  <c r="G100" i="1"/>
  <c r="K100" i="1" s="1"/>
  <c r="E230" i="1"/>
  <c r="P119" i="1"/>
  <c r="E231" i="1"/>
  <c r="S160" i="2"/>
  <c r="S165" i="2" s="1"/>
  <c r="R165" i="2"/>
  <c r="R228" i="2" s="1"/>
  <c r="S80" i="2"/>
  <c r="S228" i="2" s="1"/>
  <c r="E237" i="2" s="1"/>
  <c r="S230" i="2"/>
  <c r="S234" i="2" s="1"/>
  <c r="E229" i="1"/>
  <c r="S19" i="1"/>
  <c r="P213" i="1"/>
  <c r="R213" i="1" s="1"/>
  <c r="S213" i="1" s="1"/>
  <c r="K170" i="1"/>
  <c r="L170" i="1" s="1"/>
  <c r="R170" i="1" s="1"/>
  <c r="S170" i="1" s="1"/>
  <c r="K147" i="1"/>
  <c r="L147" i="1" s="1"/>
  <c r="K135" i="1"/>
  <c r="L135" i="1" s="1"/>
  <c r="R135" i="1" s="1"/>
  <c r="S135" i="1" s="1"/>
  <c r="I132" i="1"/>
  <c r="P132" i="1"/>
  <c r="K129" i="1"/>
  <c r="K118" i="1"/>
  <c r="K105" i="1"/>
  <c r="L105" i="1" s="1"/>
  <c r="R105" i="1" s="1"/>
  <c r="S105" i="1" s="1"/>
  <c r="K104" i="1"/>
  <c r="G222" i="1"/>
  <c r="I225" i="1"/>
  <c r="R225" i="1" s="1"/>
  <c r="S225" i="1" s="1"/>
  <c r="S226" i="1" s="1"/>
  <c r="K103" i="1"/>
  <c r="L103" i="1" s="1"/>
  <c r="R103" i="1" s="1"/>
  <c r="S103" i="1" s="1"/>
  <c r="K88" i="1"/>
  <c r="L88" i="1" s="1"/>
  <c r="I76" i="1"/>
  <c r="P76" i="1"/>
  <c r="K74" i="1"/>
  <c r="J42" i="1"/>
  <c r="J44" i="1" s="1"/>
  <c r="P42" i="1"/>
  <c r="G39" i="1"/>
  <c r="G203" i="1"/>
  <c r="P194" i="1"/>
  <c r="G218" i="1"/>
  <c r="I74" i="1"/>
  <c r="P187" i="1"/>
  <c r="P189" i="1" s="1"/>
  <c r="G214" i="1"/>
  <c r="G166" i="1"/>
  <c r="K166" i="1" s="1"/>
  <c r="P184" i="1"/>
  <c r="P137" i="1"/>
  <c r="G137" i="1"/>
  <c r="H24" i="1"/>
  <c r="R24" i="1" s="1"/>
  <c r="S24" i="1" s="1"/>
  <c r="R73" i="1"/>
  <c r="S73" i="1" s="1"/>
  <c r="P149" i="1"/>
  <c r="P150" i="1" s="1"/>
  <c r="K167" i="1"/>
  <c r="L167" i="1" s="1"/>
  <c r="R167" i="1" s="1"/>
  <c r="S167" i="1" s="1"/>
  <c r="G208" i="1"/>
  <c r="I211" i="1"/>
  <c r="L211" i="1" s="1"/>
  <c r="R211" i="1" s="1"/>
  <c r="R14" i="1"/>
  <c r="S14" i="1" s="1"/>
  <c r="I102" i="1"/>
  <c r="L102" i="1" s="1"/>
  <c r="R102" i="1" s="1"/>
  <c r="S102" i="1" s="1"/>
  <c r="G152" i="1"/>
  <c r="K153" i="1"/>
  <c r="P177" i="1"/>
  <c r="P178" i="1" s="1"/>
  <c r="O23" i="1"/>
  <c r="R23" i="1" s="1"/>
  <c r="S23" i="1" s="1"/>
  <c r="H21" i="1"/>
  <c r="R21" i="1" s="1"/>
  <c r="S21" i="1" s="1"/>
  <c r="K90" i="1"/>
  <c r="L90" i="1" s="1"/>
  <c r="R90" i="1" s="1"/>
  <c r="S90" i="1" s="1"/>
  <c r="K101" i="1"/>
  <c r="L101" i="1" s="1"/>
  <c r="K56" i="1"/>
  <c r="L56" i="1" s="1"/>
  <c r="R56" i="1" s="1"/>
  <c r="S56" i="1" s="1"/>
  <c r="I178" i="1"/>
  <c r="G44" i="1"/>
  <c r="L63" i="1"/>
  <c r="R63" i="1" s="1"/>
  <c r="S63" i="1" s="1"/>
  <c r="I75" i="1"/>
  <c r="L75" i="1" s="1"/>
  <c r="R75" i="1" s="1"/>
  <c r="S75" i="1" s="1"/>
  <c r="F114" i="1"/>
  <c r="I129" i="1"/>
  <c r="R136" i="1"/>
  <c r="I141" i="1"/>
  <c r="I144" i="1" s="1"/>
  <c r="F146" i="1"/>
  <c r="F150" i="1" s="1"/>
  <c r="G150" i="1" s="1"/>
  <c r="P155" i="1"/>
  <c r="P157" i="1" s="1"/>
  <c r="L176" i="1"/>
  <c r="R176" i="1" s="1"/>
  <c r="S176" i="1" s="1"/>
  <c r="I182" i="1"/>
  <c r="I184" i="1" s="1"/>
  <c r="G199" i="1"/>
  <c r="C233" i="1"/>
  <c r="P39" i="1"/>
  <c r="F79" i="1"/>
  <c r="G157" i="1"/>
  <c r="O18" i="1"/>
  <c r="R18" i="1" s="1"/>
  <c r="S18" i="1" s="1"/>
  <c r="M27" i="1"/>
  <c r="M227" i="1" s="1"/>
  <c r="R34" i="1"/>
  <c r="S34" i="1" s="1"/>
  <c r="R50" i="1"/>
  <c r="S50" i="1" s="1"/>
  <c r="L64" i="1"/>
  <c r="R64" i="1" s="1"/>
  <c r="S64" i="1" s="1"/>
  <c r="L68" i="1"/>
  <c r="R68" i="1" s="1"/>
  <c r="S68" i="1" s="1"/>
  <c r="P120" i="1"/>
  <c r="R142" i="1"/>
  <c r="S142" i="1" s="1"/>
  <c r="F159" i="1"/>
  <c r="F164" i="1" s="1"/>
  <c r="G194" i="1"/>
  <c r="G226" i="1"/>
  <c r="L87" i="1"/>
  <c r="G36" i="1"/>
  <c r="O26" i="1"/>
  <c r="H26" i="1"/>
  <c r="R38" i="1"/>
  <c r="S38" i="1" s="1"/>
  <c r="S39" i="1" s="1"/>
  <c r="G46" i="1"/>
  <c r="E52" i="1"/>
  <c r="L83" i="1"/>
  <c r="R83" i="1" s="1"/>
  <c r="S83" i="1" s="1"/>
  <c r="L93" i="1"/>
  <c r="R93" i="1" s="1"/>
  <c r="S93" i="1" s="1"/>
  <c r="O22" i="1"/>
  <c r="L100" i="1"/>
  <c r="R100" i="1" s="1"/>
  <c r="S100" i="1" s="1"/>
  <c r="O25" i="1"/>
  <c r="K51" i="1"/>
  <c r="L51" i="1" s="1"/>
  <c r="R51" i="1" s="1"/>
  <c r="S51" i="1" s="1"/>
  <c r="O52" i="1"/>
  <c r="L55" i="1"/>
  <c r="R55" i="1" s="1"/>
  <c r="S55" i="1" s="1"/>
  <c r="G116" i="1"/>
  <c r="K116" i="1" s="1"/>
  <c r="E120" i="1"/>
  <c r="P171" i="1"/>
  <c r="I171" i="1"/>
  <c r="I173" i="1" s="1"/>
  <c r="E178" i="1"/>
  <c r="F175" i="1"/>
  <c r="F178" i="1" s="1"/>
  <c r="R15" i="1"/>
  <c r="S15" i="1" s="1"/>
  <c r="G15" i="1"/>
  <c r="K17" i="1"/>
  <c r="H17" i="1"/>
  <c r="H25" i="1"/>
  <c r="R32" i="1"/>
  <c r="S32" i="1" s="1"/>
  <c r="G33" i="1"/>
  <c r="F54" i="1"/>
  <c r="E58" i="1"/>
  <c r="L65" i="1"/>
  <c r="P77" i="1"/>
  <c r="R77" i="1" s="1"/>
  <c r="S77" i="1" s="1"/>
  <c r="L82" i="1"/>
  <c r="R82" i="1" s="1"/>
  <c r="S82" i="1" s="1"/>
  <c r="L84" i="1"/>
  <c r="R84" i="1" s="1"/>
  <c r="S84" i="1" s="1"/>
  <c r="G86" i="1"/>
  <c r="K86" i="1" s="1"/>
  <c r="E108" i="1"/>
  <c r="L91" i="1"/>
  <c r="R91" i="1" s="1"/>
  <c r="S91" i="1" s="1"/>
  <c r="L94" i="1"/>
  <c r="R94" i="1" s="1"/>
  <c r="S94" i="1" s="1"/>
  <c r="L97" i="1"/>
  <c r="R97" i="1" s="1"/>
  <c r="S97" i="1" s="1"/>
  <c r="I104" i="1"/>
  <c r="F108" i="1"/>
  <c r="I112" i="1"/>
  <c r="L112" i="1" s="1"/>
  <c r="L117" i="1"/>
  <c r="R117" i="1" s="1"/>
  <c r="S117" i="1" s="1"/>
  <c r="K130" i="1"/>
  <c r="L130" i="1" s="1"/>
  <c r="R130" i="1" s="1"/>
  <c r="S130" i="1" s="1"/>
  <c r="L148" i="1"/>
  <c r="R148" i="1" s="1"/>
  <c r="S148" i="1" s="1"/>
  <c r="R16" i="1"/>
  <c r="S16" i="1" s="1"/>
  <c r="G16" i="1"/>
  <c r="L48" i="1"/>
  <c r="R48" i="1" s="1"/>
  <c r="S48" i="1" s="1"/>
  <c r="L81" i="1"/>
  <c r="H22" i="1"/>
  <c r="E27" i="1"/>
  <c r="R29" i="1"/>
  <c r="S29" i="1" s="1"/>
  <c r="R31" i="1"/>
  <c r="S31" i="1" s="1"/>
  <c r="P52" i="1"/>
  <c r="R47" i="1"/>
  <c r="S47" i="1" s="1"/>
  <c r="E79" i="1"/>
  <c r="L66" i="1"/>
  <c r="R66" i="1" s="1"/>
  <c r="S66" i="1" s="1"/>
  <c r="L67" i="1"/>
  <c r="L69" i="1"/>
  <c r="L72" i="1"/>
  <c r="R72" i="1" s="1"/>
  <c r="S72" i="1" s="1"/>
  <c r="L95" i="1"/>
  <c r="R95" i="1" s="1"/>
  <c r="S95" i="1" s="1"/>
  <c r="R106" i="1"/>
  <c r="S106" i="1" s="1"/>
  <c r="I118" i="1"/>
  <c r="I189" i="1"/>
  <c r="L92" i="1"/>
  <c r="R92" i="1" s="1"/>
  <c r="S92" i="1" s="1"/>
  <c r="L96" i="1"/>
  <c r="R96" i="1" s="1"/>
  <c r="S96" i="1" s="1"/>
  <c r="L98" i="1"/>
  <c r="L111" i="1"/>
  <c r="R111" i="1" s="1"/>
  <c r="S111" i="1" s="1"/>
  <c r="K126" i="1"/>
  <c r="L126" i="1" s="1"/>
  <c r="K131" i="1"/>
  <c r="L160" i="1"/>
  <c r="R160" i="1" s="1"/>
  <c r="S160" i="1" s="1"/>
  <c r="L122" i="1"/>
  <c r="R122" i="1" s="1"/>
  <c r="G133" i="1"/>
  <c r="K128" i="1"/>
  <c r="L128" i="1" s="1"/>
  <c r="K154" i="1"/>
  <c r="L154" i="1" s="1"/>
  <c r="I43" i="1"/>
  <c r="R57" i="1"/>
  <c r="S57" i="1" s="1"/>
  <c r="G62" i="1"/>
  <c r="K62" i="1" s="1"/>
  <c r="N79" i="1"/>
  <c r="N227" i="1" s="1"/>
  <c r="L89" i="1"/>
  <c r="R89" i="1" s="1"/>
  <c r="S89" i="1" s="1"/>
  <c r="L99" i="1"/>
  <c r="R99" i="1" s="1"/>
  <c r="S99" i="1" s="1"/>
  <c r="I107" i="1"/>
  <c r="R107" i="1" s="1"/>
  <c r="S107" i="1" s="1"/>
  <c r="L123" i="1"/>
  <c r="R123" i="1" s="1"/>
  <c r="S123" i="1" s="1"/>
  <c r="L127" i="1"/>
  <c r="R127" i="1" s="1"/>
  <c r="S127" i="1" s="1"/>
  <c r="P143" i="1"/>
  <c r="P144" i="1" s="1"/>
  <c r="K184" i="1"/>
  <c r="P202" i="1"/>
  <c r="P203" i="1" s="1"/>
  <c r="I202" i="1"/>
  <c r="I203" i="1" s="1"/>
  <c r="K218" i="1"/>
  <c r="L216" i="1"/>
  <c r="L218" i="1" s="1"/>
  <c r="P113" i="1"/>
  <c r="P114" i="1" s="1"/>
  <c r="E114" i="1"/>
  <c r="F119" i="1"/>
  <c r="G119" i="1" s="1"/>
  <c r="E144" i="1"/>
  <c r="L161" i="1"/>
  <c r="R161" i="1" s="1"/>
  <c r="S161" i="1" s="1"/>
  <c r="K168" i="1"/>
  <c r="L168" i="1" s="1"/>
  <c r="R168" i="1" s="1"/>
  <c r="S168" i="1" s="1"/>
  <c r="K208" i="1"/>
  <c r="L205" i="1"/>
  <c r="L208" i="1" s="1"/>
  <c r="G110" i="1"/>
  <c r="F133" i="1"/>
  <c r="F139" i="1"/>
  <c r="F144" i="1" s="1"/>
  <c r="R140" i="1"/>
  <c r="S140" i="1" s="1"/>
  <c r="K196" i="1"/>
  <c r="K199" i="1" s="1"/>
  <c r="K214" i="1"/>
  <c r="L210" i="1"/>
  <c r="P163" i="1"/>
  <c r="R163" i="1" s="1"/>
  <c r="S163" i="1" s="1"/>
  <c r="K178" i="1"/>
  <c r="P206" i="1"/>
  <c r="P208" i="1" s="1"/>
  <c r="I206" i="1"/>
  <c r="I208" i="1" s="1"/>
  <c r="P214" i="1"/>
  <c r="P217" i="1"/>
  <c r="P218" i="1" s="1"/>
  <c r="I217" i="1"/>
  <c r="I218" i="1" s="1"/>
  <c r="K222" i="1"/>
  <c r="L220" i="1"/>
  <c r="L222" i="1" s="1"/>
  <c r="P162" i="1"/>
  <c r="K191" i="1"/>
  <c r="K194" i="1" s="1"/>
  <c r="P199" i="1"/>
  <c r="K203" i="1"/>
  <c r="L201" i="1"/>
  <c r="L203" i="1" s="1"/>
  <c r="P221" i="1"/>
  <c r="P222" i="1" s="1"/>
  <c r="I221" i="1"/>
  <c r="K226" i="1"/>
  <c r="L224" i="1"/>
  <c r="L226" i="1" s="1"/>
  <c r="K169" i="1"/>
  <c r="P172" i="1"/>
  <c r="R172" i="1" s="1"/>
  <c r="S172" i="1" s="1"/>
  <c r="E173" i="1"/>
  <c r="G173" i="1" s="1"/>
  <c r="K186" i="1"/>
  <c r="I192" i="1"/>
  <c r="I197" i="1"/>
  <c r="I212" i="1"/>
  <c r="R212" i="1" s="1"/>
  <c r="S212" i="1" s="1"/>
  <c r="S211" i="1" l="1"/>
  <c r="R214" i="1"/>
  <c r="R132" i="1"/>
  <c r="S132" i="1" s="1"/>
  <c r="S136" i="1"/>
  <c r="R137" i="1"/>
  <c r="L129" i="1"/>
  <c r="R129" i="1" s="1"/>
  <c r="S129" i="1" s="1"/>
  <c r="L153" i="1"/>
  <c r="R153" i="1" s="1"/>
  <c r="S153" i="1" s="1"/>
  <c r="K152" i="1"/>
  <c r="L152" i="1" s="1"/>
  <c r="R147" i="1"/>
  <c r="S147" i="1" s="1"/>
  <c r="I226" i="1"/>
  <c r="R187" i="1"/>
  <c r="S187" i="1" s="1"/>
  <c r="L104" i="1"/>
  <c r="R104" i="1" s="1"/>
  <c r="S104" i="1" s="1"/>
  <c r="R118" i="1"/>
  <c r="S118" i="1" s="1"/>
  <c r="L74" i="1"/>
  <c r="R74" i="1" s="1"/>
  <c r="S74" i="1" s="1"/>
  <c r="R42" i="1"/>
  <c r="R141" i="1"/>
  <c r="S141" i="1" s="1"/>
  <c r="R22" i="1"/>
  <c r="S22" i="1" s="1"/>
  <c r="P79" i="1"/>
  <c r="R26" i="1"/>
  <c r="S26" i="1" s="1"/>
  <c r="R39" i="1"/>
  <c r="R182" i="1"/>
  <c r="G114" i="1"/>
  <c r="R155" i="1"/>
  <c r="S155" i="1" s="1"/>
  <c r="P133" i="1"/>
  <c r="R177" i="1"/>
  <c r="S177" i="1" s="1"/>
  <c r="R149" i="1"/>
  <c r="S149" i="1" s="1"/>
  <c r="R76" i="1"/>
  <c r="R171" i="1"/>
  <c r="S171" i="1" s="1"/>
  <c r="P36" i="1"/>
  <c r="G159" i="1"/>
  <c r="K159" i="1" s="1"/>
  <c r="K164" i="1" s="1"/>
  <c r="R101" i="1"/>
  <c r="S101" i="1" s="1"/>
  <c r="R30" i="1"/>
  <c r="S214" i="1"/>
  <c r="P164" i="1"/>
  <c r="G139" i="1"/>
  <c r="K139" i="1" s="1"/>
  <c r="K144" i="1" s="1"/>
  <c r="I108" i="1"/>
  <c r="G108" i="1"/>
  <c r="R25" i="1"/>
  <c r="S25" i="1" s="1"/>
  <c r="G27" i="1"/>
  <c r="G178" i="1"/>
  <c r="O27" i="1"/>
  <c r="O227" i="1" s="1"/>
  <c r="F120" i="1"/>
  <c r="R224" i="1"/>
  <c r="R226" i="1" s="1"/>
  <c r="G144" i="1"/>
  <c r="G146" i="1"/>
  <c r="K146" i="1" s="1"/>
  <c r="K150" i="1" s="1"/>
  <c r="I133" i="1"/>
  <c r="R143" i="1"/>
  <c r="S143" i="1" s="1"/>
  <c r="R154" i="1"/>
  <c r="S154" i="1" s="1"/>
  <c r="K133" i="1"/>
  <c r="R126" i="1"/>
  <c r="I119" i="1"/>
  <c r="R119" i="1" s="1"/>
  <c r="K108" i="1"/>
  <c r="I194" i="1"/>
  <c r="R192" i="1"/>
  <c r="S192" i="1" s="1"/>
  <c r="R221" i="1"/>
  <c r="S221" i="1" s="1"/>
  <c r="I222" i="1"/>
  <c r="I214" i="1"/>
  <c r="L169" i="1"/>
  <c r="R169" i="1" s="1"/>
  <c r="S169" i="1" s="1"/>
  <c r="R162" i="1"/>
  <c r="S162" i="1" s="1"/>
  <c r="R206" i="1"/>
  <c r="S206" i="1" s="1"/>
  <c r="L196" i="1"/>
  <c r="L199" i="1" s="1"/>
  <c r="K110" i="1"/>
  <c r="K114" i="1" s="1"/>
  <c r="I110" i="1"/>
  <c r="I114" i="1" s="1"/>
  <c r="P44" i="1"/>
  <c r="R128" i="1"/>
  <c r="S128" i="1" s="1"/>
  <c r="R113" i="1"/>
  <c r="S113" i="1" s="1"/>
  <c r="L71" i="1"/>
  <c r="R71" i="1" s="1"/>
  <c r="S71" i="1" s="1"/>
  <c r="R112" i="1"/>
  <c r="S112" i="1" s="1"/>
  <c r="L70" i="1"/>
  <c r="R70" i="1" s="1"/>
  <c r="S70" i="1" s="1"/>
  <c r="J33" i="1"/>
  <c r="J36" i="1" s="1"/>
  <c r="J227" i="1" s="1"/>
  <c r="G175" i="1"/>
  <c r="L85" i="1"/>
  <c r="R85" i="1" s="1"/>
  <c r="S85" i="1" s="1"/>
  <c r="G52" i="1"/>
  <c r="K46" i="1"/>
  <c r="K52" i="1" s="1"/>
  <c r="I199" i="1"/>
  <c r="R197" i="1"/>
  <c r="S197" i="1" s="1"/>
  <c r="S122" i="1"/>
  <c r="K189" i="1"/>
  <c r="K173" i="1"/>
  <c r="L214" i="1"/>
  <c r="K137" i="1"/>
  <c r="L137" i="1"/>
  <c r="R202" i="1"/>
  <c r="I79" i="1"/>
  <c r="L131" i="1"/>
  <c r="R131" i="1" s="1"/>
  <c r="R98" i="1"/>
  <c r="S98" i="1" s="1"/>
  <c r="G79" i="1"/>
  <c r="R67" i="1"/>
  <c r="S67" i="1" s="1"/>
  <c r="H27" i="1"/>
  <c r="H227" i="1" s="1"/>
  <c r="R65" i="1"/>
  <c r="S65" i="1" s="1"/>
  <c r="E233" i="1"/>
  <c r="E235" i="1" s="1"/>
  <c r="R87" i="1"/>
  <c r="S87" i="1" s="1"/>
  <c r="L86" i="1"/>
  <c r="R86" i="1" s="1"/>
  <c r="S86" i="1" s="1"/>
  <c r="L116" i="1"/>
  <c r="R116" i="1" s="1"/>
  <c r="R120" i="1" s="1"/>
  <c r="G120" i="1"/>
  <c r="L191" i="1"/>
  <c r="L166" i="1"/>
  <c r="R220" i="1"/>
  <c r="R217" i="1"/>
  <c r="L186" i="1"/>
  <c r="L189" i="1" s="1"/>
  <c r="R205" i="1"/>
  <c r="L61" i="1"/>
  <c r="R61" i="1" s="1"/>
  <c r="I44" i="1"/>
  <c r="R43" i="1"/>
  <c r="S43" i="1" s="1"/>
  <c r="P108" i="1"/>
  <c r="R88" i="1"/>
  <c r="S88" i="1" s="1"/>
  <c r="R69" i="1"/>
  <c r="S69" i="1" s="1"/>
  <c r="E227" i="1"/>
  <c r="R81" i="1"/>
  <c r="F58" i="1"/>
  <c r="G54" i="1"/>
  <c r="K27" i="1"/>
  <c r="R17" i="1"/>
  <c r="P173" i="1"/>
  <c r="S42" i="1" l="1"/>
  <c r="R44" i="1"/>
  <c r="S220" i="1"/>
  <c r="S222" i="1" s="1"/>
  <c r="R222" i="1"/>
  <c r="R108" i="1"/>
  <c r="S205" i="1"/>
  <c r="S208" i="1" s="1"/>
  <c r="R208" i="1"/>
  <c r="S182" i="1"/>
  <c r="S184" i="1" s="1"/>
  <c r="R184" i="1"/>
  <c r="R27" i="1"/>
  <c r="S217" i="1"/>
  <c r="S218" i="1" s="1"/>
  <c r="R218" i="1"/>
  <c r="S202" i="1"/>
  <c r="S203" i="1" s="1"/>
  <c r="R203" i="1"/>
  <c r="S76" i="1"/>
  <c r="R231" i="1"/>
  <c r="S126" i="1"/>
  <c r="R133" i="1"/>
  <c r="S30" i="1"/>
  <c r="L157" i="1"/>
  <c r="K157" i="1"/>
  <c r="R152" i="1"/>
  <c r="G164" i="1"/>
  <c r="S44" i="1"/>
  <c r="L173" i="1"/>
  <c r="F227" i="1"/>
  <c r="I120" i="1"/>
  <c r="I227" i="1" s="1"/>
  <c r="R196" i="1"/>
  <c r="L110" i="1"/>
  <c r="L114" i="1" s="1"/>
  <c r="L159" i="1"/>
  <c r="L164" i="1" s="1"/>
  <c r="P227" i="1"/>
  <c r="L108" i="1"/>
  <c r="S61" i="1"/>
  <c r="S116" i="1"/>
  <c r="S119" i="1"/>
  <c r="S131" i="1"/>
  <c r="S133" i="1" s="1"/>
  <c r="S17" i="1"/>
  <c r="L194" i="1"/>
  <c r="R191" i="1"/>
  <c r="L120" i="1"/>
  <c r="L62" i="1"/>
  <c r="R62" i="1" s="1"/>
  <c r="R79" i="1" s="1"/>
  <c r="R166" i="1"/>
  <c r="R173" i="1" s="1"/>
  <c r="S81" i="1"/>
  <c r="S108" i="1" s="1"/>
  <c r="G58" i="1"/>
  <c r="K54" i="1"/>
  <c r="K58" i="1" s="1"/>
  <c r="K79" i="1"/>
  <c r="L133" i="1"/>
  <c r="L175" i="1"/>
  <c r="L178" i="1" s="1"/>
  <c r="K120" i="1"/>
  <c r="L139" i="1"/>
  <c r="R186" i="1"/>
  <c r="R230" i="1" s="1"/>
  <c r="L46" i="1"/>
  <c r="R33" i="1"/>
  <c r="S33" i="1" s="1"/>
  <c r="S36" i="1" s="1"/>
  <c r="L146" i="1"/>
  <c r="R232" i="1" l="1"/>
  <c r="R36" i="1"/>
  <c r="S191" i="1"/>
  <c r="S194" i="1" s="1"/>
  <c r="R194" i="1"/>
  <c r="S232" i="1"/>
  <c r="S186" i="1"/>
  <c r="S189" i="1" s="1"/>
  <c r="R189" i="1"/>
  <c r="S152" i="1"/>
  <c r="S157" i="1" s="1"/>
  <c r="R157" i="1"/>
  <c r="S196" i="1"/>
  <c r="S199" i="1" s="1"/>
  <c r="R199" i="1"/>
  <c r="S231" i="1"/>
  <c r="G227" i="1"/>
  <c r="R110" i="1"/>
  <c r="R159" i="1"/>
  <c r="R164" i="1" s="1"/>
  <c r="L54" i="1"/>
  <c r="L58" i="1" s="1"/>
  <c r="R58" i="1" s="1"/>
  <c r="S120" i="1"/>
  <c r="K227" i="1"/>
  <c r="S62" i="1"/>
  <c r="S79" i="1" s="1"/>
  <c r="L144" i="1"/>
  <c r="R139" i="1"/>
  <c r="S137" i="1"/>
  <c r="L79" i="1"/>
  <c r="L150" i="1"/>
  <c r="R146" i="1"/>
  <c r="S166" i="1"/>
  <c r="S173" i="1" s="1"/>
  <c r="L52" i="1"/>
  <c r="R46" i="1"/>
  <c r="R52" i="1" s="1"/>
  <c r="R175" i="1"/>
  <c r="R178" i="1" s="1"/>
  <c r="S27" i="1"/>
  <c r="S110" i="1" l="1"/>
  <c r="S114" i="1" s="1"/>
  <c r="R114" i="1"/>
  <c r="S230" i="1"/>
  <c r="S146" i="1"/>
  <c r="S150" i="1" s="1"/>
  <c r="R150" i="1"/>
  <c r="S159" i="1"/>
  <c r="S164" i="1" s="1"/>
  <c r="S139" i="1"/>
  <c r="R144" i="1"/>
  <c r="R227" i="1" s="1"/>
  <c r="R229" i="1"/>
  <c r="R54" i="1"/>
  <c r="S54" i="1" s="1"/>
  <c r="S58" i="1" s="1"/>
  <c r="L227" i="1"/>
  <c r="S46" i="1"/>
  <c r="S175" i="1"/>
  <c r="S178" i="1" s="1"/>
  <c r="S144" i="1" l="1"/>
  <c r="S227" i="1" s="1"/>
  <c r="S229" i="1"/>
  <c r="S233" i="1" s="1"/>
  <c r="R233" i="1"/>
  <c r="S52" i="1"/>
  <c r="E236" i="1" l="1"/>
</calcChain>
</file>

<file path=xl/sharedStrings.xml><?xml version="1.0" encoding="utf-8"?>
<sst xmlns="http://schemas.openxmlformats.org/spreadsheetml/2006/main" count="5974" uniqueCount="362">
  <si>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КНП "Димерська центральна  селищна лікарня"  Димерської селищної ради</t>
  </si>
  <si>
    <t>"ЗАТВЕРДЖЕНО"</t>
  </si>
  <si>
    <t>Код ЄДРПОУ 43923918</t>
  </si>
  <si>
    <t>Директор</t>
  </si>
  <si>
    <t>________________Марія НЕХАЄНКО</t>
  </si>
  <si>
    <t xml:space="preserve">ФОП за місяць становить </t>
  </si>
  <si>
    <t xml:space="preserve">           </t>
  </si>
  <si>
    <t>Штатний розпис   КНП "Димерська центральна селищна лікарня" Димерської селищної ради</t>
  </si>
  <si>
    <t xml:space="preserve"> </t>
  </si>
  <si>
    <t xml:space="preserve">станом на 01.01.2025 року </t>
  </si>
  <si>
    <t>Посада</t>
  </si>
  <si>
    <t>К-ть</t>
  </si>
  <si>
    <t>Розряд</t>
  </si>
  <si>
    <r>
      <t xml:space="preserve">Посадовий оклад </t>
    </r>
    <r>
      <rPr>
        <sz val="9"/>
        <rFont val="Times New Roman"/>
        <family val="1"/>
        <charset val="204"/>
      </rPr>
      <t>(пос.№859 від 19.09.1999р.</t>
    </r>
    <r>
      <rPr>
        <b/>
        <sz val="9"/>
        <rFont val="Times New Roman"/>
        <family val="1"/>
        <charset val="204"/>
      </rPr>
      <t>),грн</t>
    </r>
  </si>
  <si>
    <t>Шкідливі умови праці 15%, 20%    /Керівництво 10%     грн.</t>
  </si>
  <si>
    <t>Посадовий оклад з підвищ.        грн</t>
  </si>
  <si>
    <r>
      <t>Доплати та надбавки(</t>
    </r>
    <r>
      <rPr>
        <sz val="9"/>
        <rFont val="Times New Roman"/>
        <family val="1"/>
        <charset val="204"/>
      </rPr>
      <t>наказ №308/519(зі змінами)від 05.10.2005р</t>
    </r>
  </si>
  <si>
    <t>Надбавка за престижність праці               грн</t>
  </si>
  <si>
    <t>Доплата за науковий ступінь</t>
  </si>
  <si>
    <t>Нічні 35%</t>
  </si>
  <si>
    <r>
      <rPr>
        <b/>
        <sz val="9"/>
        <rFont val="Times New Roman"/>
        <family val="1"/>
        <charset val="204"/>
      </rPr>
      <t>Премія</t>
    </r>
    <r>
      <rPr>
        <sz val="9"/>
        <rFont val="Times New Roman"/>
        <family val="1"/>
        <charset val="204"/>
      </rPr>
      <t xml:space="preserve">  грн </t>
    </r>
  </si>
  <si>
    <t>Доплата до мінімал. з/пл. грн</t>
  </si>
  <si>
    <t>Фонд з/п на місяць           грн</t>
  </si>
  <si>
    <t>Фонд з/п з 01.01.2025-31.12.2025  грн</t>
  </si>
  <si>
    <r>
      <rPr>
        <b/>
        <sz val="9"/>
        <rFont val="Times New Roman"/>
        <family val="1"/>
        <charset val="204"/>
      </rPr>
      <t xml:space="preserve">За складність та напруж. в роботі  </t>
    </r>
    <r>
      <rPr>
        <sz val="9"/>
        <rFont val="Times New Roman"/>
        <family val="1"/>
        <charset val="204"/>
      </rPr>
      <t xml:space="preserve">  50% грн.</t>
    </r>
  </si>
  <si>
    <r>
      <rPr>
        <b/>
        <sz val="9"/>
        <rFont val="Times New Roman"/>
        <family val="1"/>
        <charset val="204"/>
      </rPr>
      <t xml:space="preserve"> дез.засоби</t>
    </r>
    <r>
      <rPr>
        <sz val="9"/>
        <rFont val="Times New Roman"/>
        <family val="1"/>
        <charset val="204"/>
      </rPr>
      <t xml:space="preserve"> 10% грн.</t>
    </r>
  </si>
  <si>
    <r>
      <rPr>
        <b/>
        <sz val="9"/>
        <rFont val="Times New Roman"/>
        <family val="1"/>
        <charset val="204"/>
      </rPr>
      <t>Дез.зас, Шкідливі умови праці-</t>
    </r>
    <r>
      <rPr>
        <sz val="9"/>
        <rFont val="Times New Roman"/>
        <family val="1"/>
        <charset val="204"/>
      </rPr>
      <t>4%, грн</t>
    </r>
  </si>
  <si>
    <r>
      <rPr>
        <b/>
        <sz val="9"/>
        <rFont val="Times New Roman"/>
        <family val="1"/>
        <charset val="204"/>
      </rPr>
      <t>Вислуга років</t>
    </r>
    <r>
      <rPr>
        <sz val="9"/>
        <rFont val="Times New Roman"/>
        <family val="1"/>
        <charset val="204"/>
      </rPr>
      <t xml:space="preserve"> (медичний стаж ) грн</t>
    </r>
  </si>
  <si>
    <t>1.АДМІНІСТРАТИВНА ЧАСТИНА</t>
  </si>
  <si>
    <t>1</t>
  </si>
  <si>
    <t xml:space="preserve">Директор </t>
  </si>
  <si>
    <t>2</t>
  </si>
  <si>
    <t xml:space="preserve">Медичний директор </t>
  </si>
  <si>
    <t>3</t>
  </si>
  <si>
    <t xml:space="preserve">Заступник директора з технічних питань                                      </t>
  </si>
  <si>
    <t>4</t>
  </si>
  <si>
    <t>Головна медична сестра</t>
  </si>
  <si>
    <t xml:space="preserve">    </t>
  </si>
  <si>
    <t>5</t>
  </si>
  <si>
    <t>Головний бухгалтер</t>
  </si>
  <si>
    <t xml:space="preserve">                    </t>
  </si>
  <si>
    <t xml:space="preserve">   </t>
  </si>
  <si>
    <t>6</t>
  </si>
  <si>
    <t>Бухгалтер</t>
  </si>
  <si>
    <t xml:space="preserve">                                    </t>
  </si>
  <si>
    <t>7</t>
  </si>
  <si>
    <t>Економіст</t>
  </si>
  <si>
    <t>8</t>
  </si>
  <si>
    <t>Фахівець з публічних закупівель</t>
  </si>
  <si>
    <t>9</t>
  </si>
  <si>
    <t>Інспектор з кадрів</t>
  </si>
  <si>
    <t>10</t>
  </si>
  <si>
    <t>Інспектор з військового обліку</t>
  </si>
  <si>
    <t>11</t>
  </si>
  <si>
    <t>Діловод</t>
  </si>
  <si>
    <t>12</t>
  </si>
  <si>
    <t>Інженер з охорони праці</t>
  </si>
  <si>
    <t>13</t>
  </si>
  <si>
    <t>Адміністратор систем</t>
  </si>
  <si>
    <t>Всього:</t>
  </si>
  <si>
    <t>2.ГОСПОДАРСЬКИЙ ВІДДІЛ</t>
  </si>
  <si>
    <t>14</t>
  </si>
  <si>
    <t>Завідувач господарства</t>
  </si>
  <si>
    <t>15</t>
  </si>
  <si>
    <t>Комірник</t>
  </si>
  <si>
    <t>16</t>
  </si>
  <si>
    <t>Слюсар-сантехнік</t>
  </si>
  <si>
    <t>17</t>
  </si>
  <si>
    <t>Робітник з комплексного обслуговування й ремонту будинків</t>
  </si>
  <si>
    <t>18</t>
  </si>
  <si>
    <t>Машиніст із прання та ремонту спецодягу</t>
  </si>
  <si>
    <t>20</t>
  </si>
  <si>
    <t>Прибиральник територій</t>
  </si>
  <si>
    <t>21</t>
  </si>
  <si>
    <t>Електромонтер з ремонту та обслуговування електроустаткування</t>
  </si>
  <si>
    <t>2.1 ГАРАЖ</t>
  </si>
  <si>
    <t xml:space="preserve">              </t>
  </si>
  <si>
    <t>22</t>
  </si>
  <si>
    <t>Водій автотранспортних засобів</t>
  </si>
  <si>
    <t xml:space="preserve"> 2.2 Харчоблок</t>
  </si>
  <si>
    <t>25</t>
  </si>
  <si>
    <t>26</t>
  </si>
  <si>
    <t>Кухар</t>
  </si>
  <si>
    <t>27</t>
  </si>
  <si>
    <t>Кухонний робітник</t>
  </si>
  <si>
    <t>3. ЗАГАЛЬНО ЛІКАРНЯНИЙ ВІДДІЛ</t>
  </si>
  <si>
    <t>28</t>
  </si>
  <si>
    <t>Психолог</t>
  </si>
  <si>
    <t>29</t>
  </si>
  <si>
    <t xml:space="preserve">Лікар - інтерн </t>
  </si>
  <si>
    <t>32</t>
  </si>
  <si>
    <t xml:space="preserve">Сестра медична </t>
  </si>
  <si>
    <t>33</t>
  </si>
  <si>
    <t xml:space="preserve">Адміністратор </t>
  </si>
  <si>
    <t>34</t>
  </si>
  <si>
    <t>Регістратор медичний</t>
  </si>
  <si>
    <t>35</t>
  </si>
  <si>
    <t>Сестра медична з дієтичного харчування</t>
  </si>
  <si>
    <t>3.1. Відділ інфекційного контролю</t>
  </si>
  <si>
    <t>36</t>
  </si>
  <si>
    <t xml:space="preserve">Завідувач </t>
  </si>
  <si>
    <t>37</t>
  </si>
  <si>
    <t>Лікар-епідеміолог</t>
  </si>
  <si>
    <t>38</t>
  </si>
  <si>
    <t>Лікар-інфекціоніст</t>
  </si>
  <si>
    <t>39</t>
  </si>
  <si>
    <t>Статистик</t>
  </si>
  <si>
    <t xml:space="preserve"> 4. ЛІКУВАЛЬНО-ДІАГНОСТИЧНЕ ВІДДІЛЕННЯ</t>
  </si>
  <si>
    <t>4.1. Стаціонарне відділення із неврологічними ліжками і центром паліативної (стаціонарної і мобільної) допомоги дорослим і дітям</t>
  </si>
  <si>
    <t>40</t>
  </si>
  <si>
    <t>Завідувач</t>
  </si>
  <si>
    <t>41</t>
  </si>
  <si>
    <t>Лікар-терапевт</t>
  </si>
  <si>
    <t>42</t>
  </si>
  <si>
    <t>Лікар-невропатолог</t>
  </si>
  <si>
    <t>43</t>
  </si>
  <si>
    <t>Лікар-анестезіолог дитячий</t>
  </si>
  <si>
    <t>44</t>
  </si>
  <si>
    <t>Лікар-анестезіолог</t>
  </si>
  <si>
    <t>45</t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</si>
  <si>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лікар-терапевт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</si>
  <si>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ліка-хірург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</si>
  <si>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ліка-отоларинголог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</si>
  <si>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ліка-акушер-гінеколог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</si>
  <si>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ліка-анестезіолог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</si>
  <si>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лікар-ендокринолог</t>
    </r>
  </si>
  <si>
    <r>
      <rPr>
        <b/>
        <sz val="9"/>
        <rFont val="Times New Roman"/>
        <family val="1"/>
        <charset val="204"/>
      </rPr>
      <t xml:space="preserve">Черговий лікар: </t>
    </r>
    <r>
      <rPr>
        <sz val="9"/>
        <rFont val="Times New Roman"/>
        <family val="1"/>
        <charset val="204"/>
      </rPr>
      <t>лікар-невролог дитячий</t>
    </r>
  </si>
  <si>
    <t>46</t>
  </si>
  <si>
    <t>Сестра медична старша</t>
  </si>
  <si>
    <t>48</t>
  </si>
  <si>
    <t>Сестра медична</t>
  </si>
  <si>
    <t>49</t>
  </si>
  <si>
    <t>Сестра медична стаціонару (маніпуляційка)</t>
  </si>
  <si>
    <t>50</t>
  </si>
  <si>
    <t>Молодша медична сестра</t>
  </si>
  <si>
    <t>51</t>
  </si>
  <si>
    <t>Молодша медична сестра(санітарка-буфетниця)</t>
  </si>
  <si>
    <t>52</t>
  </si>
  <si>
    <t>Сестра-господиня</t>
  </si>
  <si>
    <t>4.2. КОНСУЛЬТАТИВНО-ДІАГНОСТИЧНЕ ВІДДІЛЕННЯ</t>
  </si>
  <si>
    <t>53</t>
  </si>
  <si>
    <t>54</t>
  </si>
  <si>
    <t>Лікар-акушер-гінеколог</t>
  </si>
  <si>
    <t>55</t>
  </si>
  <si>
    <t>Лікар-рентгенолог</t>
  </si>
  <si>
    <t>56</t>
  </si>
  <si>
    <t>Лікар-ортопед-травматолог</t>
  </si>
  <si>
    <t>57</t>
  </si>
  <si>
    <t>Лікар-хірург</t>
  </si>
  <si>
    <t>58</t>
  </si>
  <si>
    <t>Лікар-офтальмолог</t>
  </si>
  <si>
    <t>59</t>
  </si>
  <si>
    <t>60</t>
  </si>
  <si>
    <t>Лікар з ультразвукової діагностики</t>
  </si>
  <si>
    <t>61</t>
  </si>
  <si>
    <t>Лікар-отоларинголог</t>
  </si>
  <si>
    <t>62</t>
  </si>
  <si>
    <t>Лікар-ендоскопіст</t>
  </si>
  <si>
    <r>
      <rPr>
        <b/>
        <sz val="9"/>
        <rFont val="Times New Roman"/>
        <family val="1"/>
        <charset val="204"/>
      </rPr>
      <t>Л</t>
    </r>
    <r>
      <rPr>
        <sz val="9"/>
        <rFont val="Times New Roman"/>
        <family val="1"/>
        <charset val="204"/>
      </rPr>
      <t>ікар-невролог дитячий</t>
    </r>
  </si>
  <si>
    <t>63</t>
  </si>
  <si>
    <t>Лікар-отоларинголог дитячий</t>
  </si>
  <si>
    <t>64</t>
  </si>
  <si>
    <t>Лікар-ортопед-травматолог дитячий</t>
  </si>
  <si>
    <t>65</t>
  </si>
  <si>
    <t>Лікар-кардіолог</t>
  </si>
  <si>
    <t>66</t>
  </si>
  <si>
    <t>Лікар-стоматолог</t>
  </si>
  <si>
    <t>67</t>
  </si>
  <si>
    <t>68</t>
  </si>
  <si>
    <t>Лікар-ендокринолог</t>
  </si>
  <si>
    <t>69</t>
  </si>
  <si>
    <t>Лікар-педіатр</t>
  </si>
  <si>
    <t>70</t>
  </si>
  <si>
    <t>Лікар-гастроентеролог дитячий</t>
  </si>
  <si>
    <t>71</t>
  </si>
  <si>
    <t>72</t>
  </si>
  <si>
    <t>Сестра медична з фізіотерапії</t>
  </si>
  <si>
    <t>73</t>
  </si>
  <si>
    <t>Акушерка</t>
  </si>
  <si>
    <t>74</t>
  </si>
  <si>
    <t>Сестра медична зі стоматології</t>
  </si>
  <si>
    <t>75</t>
  </si>
  <si>
    <t>Рентгенолаборант</t>
  </si>
  <si>
    <t>76</t>
  </si>
  <si>
    <t>Сестра -  господиня</t>
  </si>
  <si>
    <t>77</t>
  </si>
  <si>
    <t xml:space="preserve">Молодша медична сестра </t>
  </si>
  <si>
    <t>4.3. КЛІНІКО-ДІАГНОСТИЧНА ЛАБОРАТОРІЯ</t>
  </si>
  <si>
    <t>78</t>
  </si>
  <si>
    <t>Лікар-лаборант</t>
  </si>
  <si>
    <t>79</t>
  </si>
  <si>
    <t>Біохімік</t>
  </si>
  <si>
    <t>80</t>
  </si>
  <si>
    <t xml:space="preserve">Лаборант                                                                    </t>
  </si>
  <si>
    <t>81</t>
  </si>
  <si>
    <t xml:space="preserve">                                                                                                                           </t>
  </si>
  <si>
    <t>4.4. ІНФЕКЦІЙНЕ ВІДДІЛЕННЯ</t>
  </si>
  <si>
    <t>82</t>
  </si>
  <si>
    <t>83</t>
  </si>
  <si>
    <t>84</t>
  </si>
  <si>
    <t>85</t>
  </si>
  <si>
    <t xml:space="preserve"> 5. ЦЕНТР ПЕРВИННОЇ МЕДИКО-САНІТАРНОЇ ДОПОМОГИ      </t>
  </si>
  <si>
    <t>86</t>
  </si>
  <si>
    <t>87</t>
  </si>
  <si>
    <t xml:space="preserve">5.1.  Димерська АЗПСМ </t>
  </si>
  <si>
    <t>88</t>
  </si>
  <si>
    <t>Лікар загальної практики-сімейний лікар</t>
  </si>
  <si>
    <t>89</t>
  </si>
  <si>
    <t>Лікар - педіатр</t>
  </si>
  <si>
    <t>90</t>
  </si>
  <si>
    <t>91</t>
  </si>
  <si>
    <t>Сестра медична загальної практики-сімейної медицини</t>
  </si>
  <si>
    <t>Сестра медична загальної практики- сімейної медицини</t>
  </si>
  <si>
    <t>92</t>
  </si>
  <si>
    <t>93</t>
  </si>
  <si>
    <t>Сестра медична процедурна</t>
  </si>
  <si>
    <t>94</t>
  </si>
  <si>
    <t xml:space="preserve">5.2. КАБІНЕТ ЦІЛОДОБОВОГО НАДАННЯ ПЕРВИННОЇ МЕДИЧНОЇ ДОПОМОГИ </t>
  </si>
  <si>
    <t>95</t>
  </si>
  <si>
    <t xml:space="preserve">Фельдшер </t>
  </si>
  <si>
    <t>Фельдшер</t>
  </si>
  <si>
    <t>96</t>
  </si>
  <si>
    <t xml:space="preserve">5.3. Федорівська АЗПСМ </t>
  </si>
  <si>
    <t>97</t>
  </si>
  <si>
    <t>98</t>
  </si>
  <si>
    <t>99</t>
  </si>
  <si>
    <t>100</t>
  </si>
  <si>
    <t>Машиніст котельні</t>
  </si>
  <si>
    <t>101</t>
  </si>
  <si>
    <t>Двірник</t>
  </si>
  <si>
    <t xml:space="preserve">5.4. Литвинівська АЗПСМ </t>
  </si>
  <si>
    <t>102</t>
  </si>
  <si>
    <t xml:space="preserve">Лікар загальної практики-сімейний лікар </t>
  </si>
  <si>
    <t>103</t>
  </si>
  <si>
    <t>104</t>
  </si>
  <si>
    <t>Сестра медична патронажна</t>
  </si>
  <si>
    <t>105</t>
  </si>
  <si>
    <t xml:space="preserve">5.5. Катюжанська АЗПСМ </t>
  </si>
  <si>
    <t>106</t>
  </si>
  <si>
    <t>107</t>
  </si>
  <si>
    <t>108</t>
  </si>
  <si>
    <t>Сестра медична загальної практики сімейної медицини</t>
  </si>
  <si>
    <t>109</t>
  </si>
  <si>
    <t>110</t>
  </si>
  <si>
    <t>111</t>
  </si>
  <si>
    <t>Реєстратор медичний</t>
  </si>
  <si>
    <t xml:space="preserve">5.6. Ясногородська АЗПСМ </t>
  </si>
  <si>
    <t>112</t>
  </si>
  <si>
    <t>113</t>
  </si>
  <si>
    <t>114</t>
  </si>
  <si>
    <t>115</t>
  </si>
  <si>
    <t>116</t>
  </si>
  <si>
    <t xml:space="preserve">5.7. Демидівська АЗПСМ </t>
  </si>
  <si>
    <t>117</t>
  </si>
  <si>
    <t>118</t>
  </si>
  <si>
    <t>119</t>
  </si>
  <si>
    <t>120</t>
  </si>
  <si>
    <t>121</t>
  </si>
  <si>
    <t>122</t>
  </si>
  <si>
    <t xml:space="preserve">5.8. Козаровицька АЗПСМ   </t>
  </si>
  <si>
    <t>123</t>
  </si>
  <si>
    <t>124</t>
  </si>
  <si>
    <t>125</t>
  </si>
  <si>
    <t>5.3.1. ФП с.Сичівка</t>
  </si>
  <si>
    <t>126</t>
  </si>
  <si>
    <t>127</t>
  </si>
  <si>
    <t>128</t>
  </si>
  <si>
    <t>Опалювач</t>
  </si>
  <si>
    <t>5.3.2. ФП с.Любимівка</t>
  </si>
  <si>
    <t>129</t>
  </si>
  <si>
    <t>130</t>
  </si>
  <si>
    <t>131</t>
  </si>
  <si>
    <t>5.5.1. ФП с.Абрамівка</t>
  </si>
  <si>
    <t>132</t>
  </si>
  <si>
    <t>133</t>
  </si>
  <si>
    <t>134</t>
  </si>
  <si>
    <t>5.5.2. ФП с.Гута-Катюжанська</t>
  </si>
  <si>
    <t>135</t>
  </si>
  <si>
    <t>136</t>
  </si>
  <si>
    <t>137</t>
  </si>
  <si>
    <t>5.5.3. ФП с.Вахівка</t>
  </si>
  <si>
    <t>141</t>
  </si>
  <si>
    <t>142</t>
  </si>
  <si>
    <t>5.5.4. ФП с.Рудня -Димерська</t>
  </si>
  <si>
    <t>143</t>
  </si>
  <si>
    <t>144</t>
  </si>
  <si>
    <t>145</t>
  </si>
  <si>
    <t>5.6.1. ФП с.Глібівка</t>
  </si>
  <si>
    <t>146</t>
  </si>
  <si>
    <t>147</t>
  </si>
  <si>
    <t>148</t>
  </si>
  <si>
    <t>149</t>
  </si>
  <si>
    <t>5.6.2. ФП с.Сухолуччя</t>
  </si>
  <si>
    <t>150</t>
  </si>
  <si>
    <t>151</t>
  </si>
  <si>
    <t>5.6.3. ФП с.Толокунь</t>
  </si>
  <si>
    <t>152</t>
  </si>
  <si>
    <t>153</t>
  </si>
  <si>
    <t>5.6.4. ФП с.Богдани</t>
  </si>
  <si>
    <t>154</t>
  </si>
  <si>
    <t>155</t>
  </si>
  <si>
    <t>Всього по КНП</t>
  </si>
  <si>
    <t xml:space="preserve">лікарі </t>
  </si>
  <si>
    <t>фахівці з базовою та неповною вищою медичною освітою</t>
  </si>
  <si>
    <t>молодший медичний  персонал</t>
  </si>
  <si>
    <t>інший персонал</t>
  </si>
  <si>
    <t>разом</t>
  </si>
  <si>
    <t>Матеріальна допомога на оздоровлення</t>
  </si>
  <si>
    <t>Разом ФОП на 2024 рік:</t>
  </si>
  <si>
    <t>Марія НЕХАЄНКО</t>
  </si>
  <si>
    <t>Оксана ДАВИДЕНКО</t>
  </si>
  <si>
    <t>Марія ПРИЩЕПА</t>
  </si>
  <si>
    <t>Фельдшерські пункти</t>
  </si>
  <si>
    <t>2677076,35 грн.</t>
  </si>
  <si>
    <t xml:space="preserve">станом на 01.02.2025 року </t>
  </si>
  <si>
    <t xml:space="preserve">Слюсар-електрик з ремонту та обслуговування електричних підйомників (ліфтів) </t>
  </si>
  <si>
    <t>.</t>
  </si>
  <si>
    <t>2698076,35 грн.</t>
  </si>
  <si>
    <t xml:space="preserve">станом на 01.03.2025 року </t>
  </si>
  <si>
    <t>Фонд з/п з 01.03.2025-31.12.2025  грн</t>
  </si>
  <si>
    <t>2698170,60 грн.</t>
  </si>
  <si>
    <t>Т.в.о. Головного бухгалтера</t>
  </si>
  <si>
    <t xml:space="preserve">станом на 01.04.2025 року </t>
  </si>
  <si>
    <t>Завідувач банку крові</t>
  </si>
  <si>
    <t>Завідувач лабораторії трансфузійної імунології</t>
  </si>
  <si>
    <t>Фонд з/п з 01.04.2025-31.12.2025  грн</t>
  </si>
  <si>
    <t>4.4. БАНК КРОВІ</t>
  </si>
  <si>
    <t>4.5. ІНФЕКЦІЙНЕ ВІДДІЛЕННЯ</t>
  </si>
  <si>
    <t>Оператор медичного устаткування</t>
  </si>
  <si>
    <t xml:space="preserve">станом на 01.06.2025 року </t>
  </si>
  <si>
    <t>Фонд з/п з 01.06.2025-31.12.2025  грн</t>
  </si>
  <si>
    <t>Олександр ОСАДЧИЙ</t>
  </si>
  <si>
    <t>Лікар-сурдолог</t>
  </si>
  <si>
    <t>2706996,90 грн.</t>
  </si>
  <si>
    <t xml:space="preserve">станом на 01.07.2025 року </t>
  </si>
  <si>
    <t>Фонд з/п з 01.07.2025-31.12.2025  грн</t>
  </si>
  <si>
    <t xml:space="preserve">станом на 01.08.2025 року </t>
  </si>
  <si>
    <t>Фонд з/п з 01.08.2025-31.12.2025  грн</t>
  </si>
  <si>
    <t xml:space="preserve">станом на 01.09.2025 року </t>
  </si>
  <si>
    <t>Лікар-фізичної та реабілітаційної медицини</t>
  </si>
  <si>
    <t>Фонд з/п з 01.09.2025-31.12.2025  грн</t>
  </si>
  <si>
    <t>2696996,90 грн.</t>
  </si>
  <si>
    <t xml:space="preserve">станом на 01.10.2025 року </t>
  </si>
  <si>
    <t>Фонд з/п з 01.10.2025-31.12.2025  грн</t>
  </si>
  <si>
    <t xml:space="preserve">станом на 01.01.2026 року </t>
  </si>
  <si>
    <t>Фонд з/п з 01.01.2026-31.12.2026  грн</t>
  </si>
  <si>
    <t>Разом ФОП на 2026 рік:</t>
  </si>
  <si>
    <t>До наказу № _______від _______________</t>
  </si>
  <si>
    <t>Додаток №_________</t>
  </si>
  <si>
    <t xml:space="preserve">Марія НЕХАЄНКО                   </t>
  </si>
  <si>
    <t>2739121,77 грн.</t>
  </si>
  <si>
    <t>Фонд з/п з 01.04.2026-31.12.2026  грн</t>
  </si>
  <si>
    <t xml:space="preserve">станом на 01.05.2026 року </t>
  </si>
  <si>
    <t>Фонд з/п з 01.05.2026-31.12.2026  грн</t>
  </si>
  <si>
    <t>2734440,77 грн.</t>
  </si>
  <si>
    <t xml:space="preserve">станом на 01.07.2026 року </t>
  </si>
  <si>
    <t>2743087,77 грн.</t>
  </si>
  <si>
    <t>додаток №1 до рішення Димерської селищної ради</t>
  </si>
  <si>
    <t>Секретар селищної ради</t>
  </si>
  <si>
    <t>Фонд з/п з 01.07.2026-31.12.2026  грн</t>
  </si>
  <si>
    <t>Соціальний працівний</t>
  </si>
  <si>
    <t xml:space="preserve">Людмила ІВАНОВА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</si>
</sst>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u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8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8" fillId="0" borderId="0" xfId="0" applyFont="1"/>
    <xf numFmtId="0" fontId="6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6" fillId="0" borderId="0" xfId="0" applyFont="1"/>
    <xf numFmtId="0" fontId="9" fillId="0" borderId="0" xfId="0" applyFont="1"/>
    <xf numFmtId="49" fontId="1" fillId="0" borderId="3" xfId="0" applyNumberFormat="1" applyFont="1" applyBorder="1"/>
    <xf numFmtId="0" fontId="9" fillId="0" borderId="8" xfId="0" applyFont="1" applyBorder="1" applyAlignment="1">
      <alignment horizontal="center" vertical="center" wrapText="1"/>
    </xf>
    <xf numFmtId="9" fontId="9" fillId="0" borderId="8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/>
    <xf numFmtId="9" fontId="10" fillId="0" borderId="4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/>
    <xf numFmtId="0" fontId="9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2" fontId="9" fillId="0" borderId="12" xfId="0" applyNumberFormat="1" applyFont="1" applyBorder="1" applyAlignment="1">
      <alignment horizontal="center" vertical="center" wrapText="1"/>
    </xf>
    <xf numFmtId="9" fontId="9" fillId="0" borderId="12" xfId="0" applyNumberFormat="1" applyFont="1" applyBorder="1" applyAlignment="1">
      <alignment horizontal="center" vertical="center" wrapText="1"/>
    </xf>
    <xf numFmtId="2" fontId="9" fillId="0" borderId="13" xfId="0" applyNumberFormat="1" applyFont="1" applyBorder="1" applyAlignment="1">
      <alignment horizontal="center" vertical="center" wrapText="1"/>
    </xf>
    <xf numFmtId="1" fontId="9" fillId="0" borderId="12" xfId="0" applyNumberFormat="1" applyFont="1" applyBorder="1" applyAlignment="1">
      <alignment horizontal="center" vertical="center" wrapText="1"/>
    </xf>
    <xf numFmtId="0" fontId="12" fillId="0" borderId="0" xfId="0" applyFont="1"/>
    <xf numFmtId="49" fontId="6" fillId="0" borderId="11" xfId="0" applyNumberFormat="1" applyFont="1" applyBorder="1"/>
    <xf numFmtId="0" fontId="10" fillId="0" borderId="12" xfId="0" applyFont="1" applyBorder="1" applyAlignment="1">
      <alignment horizontal="center" vertical="center" wrapText="1"/>
    </xf>
    <xf numFmtId="2" fontId="10" fillId="0" borderId="12" xfId="0" applyNumberFormat="1" applyFont="1" applyBorder="1" applyAlignment="1">
      <alignment horizontal="center" vertical="center" wrapText="1"/>
    </xf>
    <xf numFmtId="2" fontId="10" fillId="0" borderId="13" xfId="0" applyNumberFormat="1" applyFont="1" applyBorder="1" applyAlignment="1">
      <alignment horizontal="center" vertical="center" wrapText="1"/>
    </xf>
    <xf numFmtId="2" fontId="14" fillId="0" borderId="12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2" fontId="13" fillId="0" borderId="8" xfId="0" applyNumberFormat="1" applyFont="1" applyBorder="1" applyAlignment="1">
      <alignment horizontal="center" vertical="center" wrapText="1"/>
    </xf>
    <xf numFmtId="2" fontId="13" fillId="0" borderId="10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2" fontId="16" fillId="0" borderId="12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11" xfId="0" applyNumberFormat="1" applyFont="1" applyBorder="1" applyAlignment="1">
      <alignment horizontal="left"/>
    </xf>
    <xf numFmtId="0" fontId="10" fillId="0" borderId="12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2" fontId="15" fillId="0" borderId="0" xfId="0" applyNumberFormat="1" applyFont="1"/>
    <xf numFmtId="0" fontId="13" fillId="0" borderId="8" xfId="0" applyFont="1" applyBorder="1" applyAlignment="1">
      <alignment horizontal="left" vertical="center" wrapText="1"/>
    </xf>
    <xf numFmtId="2" fontId="17" fillId="0" borderId="0" xfId="0" applyNumberFormat="1" applyFont="1"/>
    <xf numFmtId="0" fontId="17" fillId="0" borderId="0" xfId="0" applyFont="1"/>
    <xf numFmtId="0" fontId="10" fillId="0" borderId="15" xfId="0" applyFont="1" applyBorder="1" applyAlignment="1">
      <alignment horizontal="center" vertical="center" wrapText="1"/>
    </xf>
    <xf numFmtId="2" fontId="9" fillId="0" borderId="15" xfId="0" applyNumberFormat="1" applyFont="1" applyBorder="1" applyAlignment="1">
      <alignment horizontal="center" vertical="center" wrapText="1"/>
    </xf>
    <xf numFmtId="2" fontId="6" fillId="0" borderId="0" xfId="0" applyNumberFormat="1" applyFont="1"/>
    <xf numFmtId="2" fontId="1" fillId="0" borderId="0" xfId="0" applyNumberFormat="1" applyFont="1"/>
    <xf numFmtId="2" fontId="12" fillId="0" borderId="0" xfId="0" applyNumberFormat="1" applyFont="1"/>
    <xf numFmtId="0" fontId="10" fillId="0" borderId="4" xfId="0" applyFont="1" applyBorder="1" applyAlignment="1">
      <alignment horizontal="left" vertical="center" wrapText="1"/>
    </xf>
    <xf numFmtId="0" fontId="18" fillId="0" borderId="0" xfId="0" applyFont="1"/>
    <xf numFmtId="49" fontId="1" fillId="0" borderId="14" xfId="0" applyNumberFormat="1" applyFont="1" applyBorder="1"/>
    <xf numFmtId="2" fontId="18" fillId="0" borderId="0" xfId="0" applyNumberFormat="1" applyFont="1"/>
    <xf numFmtId="0" fontId="9" fillId="0" borderId="15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center" vertical="center" wrapText="1"/>
    </xf>
    <xf numFmtId="2" fontId="14" fillId="0" borderId="15" xfId="0" applyNumberFormat="1" applyFont="1" applyBorder="1" applyAlignment="1">
      <alignment horizontal="center" vertical="center" wrapText="1"/>
    </xf>
    <xf numFmtId="2" fontId="14" fillId="0" borderId="16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/>
    </xf>
    <xf numFmtId="49" fontId="12" fillId="0" borderId="7" xfId="0" applyNumberFormat="1" applyFont="1" applyBorder="1"/>
    <xf numFmtId="2" fontId="9" fillId="0" borderId="17" xfId="0" applyNumberFormat="1" applyFont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left" vertical="center" wrapText="1"/>
    </xf>
    <xf numFmtId="49" fontId="17" fillId="0" borderId="0" xfId="0" applyNumberFormat="1" applyFont="1"/>
    <xf numFmtId="4" fontId="1" fillId="0" borderId="0" xfId="0" applyNumberFormat="1" applyFont="1"/>
    <xf numFmtId="0" fontId="1" fillId="0" borderId="3" xfId="0" applyFont="1" applyBorder="1" applyAlignment="1">
      <alignment horizontal="right"/>
    </xf>
    <xf numFmtId="2" fontId="1" fillId="0" borderId="4" xfId="0" applyNumberFormat="1" applyFont="1" applyBorder="1"/>
    <xf numFmtId="0" fontId="1" fillId="0" borderId="11" xfId="0" applyFont="1" applyBorder="1" applyAlignment="1">
      <alignment horizontal="right"/>
    </xf>
    <xf numFmtId="0" fontId="1" fillId="0" borderId="12" xfId="0" applyFont="1" applyBorder="1"/>
    <xf numFmtId="0" fontId="1" fillId="0" borderId="7" xfId="0" applyFont="1" applyBorder="1" applyAlignment="1">
      <alignment horizontal="right"/>
    </xf>
    <xf numFmtId="0" fontId="1" fillId="0" borderId="8" xfId="0" applyFont="1" applyBorder="1"/>
    <xf numFmtId="2" fontId="1" fillId="0" borderId="8" xfId="0" applyNumberFormat="1" applyFont="1" applyBorder="1"/>
    <xf numFmtId="2" fontId="1" fillId="0" borderId="10" xfId="0" applyNumberFormat="1" applyFont="1" applyBorder="1"/>
    <xf numFmtId="0" fontId="9" fillId="0" borderId="12" xfId="0" applyFont="1" applyBorder="1" applyAlignment="1">
      <alignment horizontal="right"/>
    </xf>
    <xf numFmtId="0" fontId="0" fillId="0" borderId="12" xfId="0" applyBorder="1" applyAlignment="1">
      <alignment horizontal="right"/>
    </xf>
    <xf numFmtId="2" fontId="6" fillId="0" borderId="12" xfId="0" applyNumberFormat="1" applyFont="1" applyBorder="1"/>
    <xf numFmtId="0" fontId="19" fillId="0" borderId="0" xfId="0" applyFont="1"/>
    <xf numFmtId="2" fontId="19" fillId="0" borderId="0" xfId="0" applyNumberFormat="1" applyFont="1"/>
    <xf numFmtId="2" fontId="20" fillId="0" borderId="0" xfId="0" applyNumberFormat="1" applyFont="1"/>
    <xf numFmtId="0" fontId="2" fillId="0" borderId="0" xfId="0" applyFont="1"/>
    <xf numFmtId="0" fontId="3" fillId="0" borderId="0" xfId="0" applyFont="1"/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/>
    <xf numFmtId="0" fontId="1" fillId="0" borderId="13" xfId="0" applyFont="1" applyBorder="1"/>
    <xf numFmtId="9" fontId="13" fillId="0" borderId="8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2" fontId="10" fillId="0" borderId="6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9" fontId="9" fillId="0" borderId="4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2" fontId="9" fillId="0" borderId="16" xfId="0" applyNumberFormat="1" applyFont="1" applyBorder="1" applyAlignment="1">
      <alignment horizontal="center" vertical="center" wrapText="1"/>
    </xf>
    <xf numFmtId="49" fontId="15" fillId="0" borderId="18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2" fontId="14" fillId="0" borderId="5" xfId="0" applyNumberFormat="1" applyFont="1" applyBorder="1" applyAlignment="1">
      <alignment horizontal="center" vertical="center" wrapText="1"/>
    </xf>
    <xf numFmtId="2" fontId="14" fillId="0" borderId="20" xfId="0" applyNumberFormat="1" applyFont="1" applyBorder="1" applyAlignment="1">
      <alignment horizontal="center" vertical="center" wrapText="1"/>
    </xf>
    <xf numFmtId="49" fontId="6" fillId="0" borderId="21" xfId="0" applyNumberFormat="1" applyFont="1" applyBorder="1" applyAlignment="1">
      <alignment horizontal="left"/>
    </xf>
    <xf numFmtId="0" fontId="10" fillId="0" borderId="22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center" vertical="center" wrapText="1"/>
    </xf>
    <xf numFmtId="2" fontId="10" fillId="0" borderId="22" xfId="0" applyNumberFormat="1" applyFont="1" applyBorder="1" applyAlignment="1">
      <alignment horizontal="center" vertical="center" wrapText="1"/>
    </xf>
    <xf numFmtId="2" fontId="10" fillId="0" borderId="23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left"/>
    </xf>
    <xf numFmtId="2" fontId="14" fillId="0" borderId="4" xfId="0" applyNumberFormat="1" applyFont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 wrapText="1"/>
    </xf>
    <xf numFmtId="49" fontId="12" fillId="0" borderId="21" xfId="0" applyNumberFormat="1" applyFont="1" applyBorder="1"/>
    <xf numFmtId="0" fontId="13" fillId="0" borderId="22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center" vertical="center" wrapText="1"/>
    </xf>
    <xf numFmtId="2" fontId="13" fillId="0" borderId="22" xfId="0" applyNumberFormat="1" applyFont="1" applyBorder="1" applyAlignment="1">
      <alignment horizontal="center" vertical="center" wrapText="1"/>
    </xf>
    <xf numFmtId="2" fontId="13" fillId="0" borderId="23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49" fontId="17" fillId="0" borderId="7" xfId="0" applyNumberFormat="1" applyFont="1" applyBorder="1"/>
    <xf numFmtId="0" fontId="13" fillId="0" borderId="24" xfId="0" applyFont="1" applyBorder="1" applyAlignment="1">
      <alignment horizontal="left" vertical="center" wrapText="1"/>
    </xf>
    <xf numFmtId="2" fontId="13" fillId="0" borderId="25" xfId="0" applyNumberFormat="1" applyFont="1" applyBorder="1" applyAlignment="1">
      <alignment horizontal="center" vertical="center" wrapText="1"/>
    </xf>
    <xf numFmtId="0" fontId="13" fillId="0" borderId="25" xfId="0" applyFont="1" applyBorder="1" applyAlignment="1">
      <alignment horizontal="left" vertical="center" wrapText="1"/>
    </xf>
    <xf numFmtId="2" fontId="13" fillId="0" borderId="26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/>
    <xf numFmtId="2" fontId="1" fillId="0" borderId="13" xfId="0" applyNumberFormat="1" applyFont="1" applyBorder="1"/>
    <xf numFmtId="49" fontId="12" fillId="0" borderId="12" xfId="0" applyNumberFormat="1" applyFont="1" applyBorder="1"/>
    <xf numFmtId="0" fontId="13" fillId="0" borderId="12" xfId="0" applyFont="1" applyBorder="1" applyAlignment="1">
      <alignment horizontal="center" vertical="center" wrapText="1"/>
    </xf>
    <xf numFmtId="2" fontId="13" fillId="0" borderId="12" xfId="0" applyNumberFormat="1" applyFont="1" applyBorder="1" applyAlignment="1">
      <alignment horizontal="center" vertical="center" wrapText="1"/>
    </xf>
    <xf numFmtId="49" fontId="17" fillId="0" borderId="12" xfId="0" applyNumberFormat="1" applyFont="1" applyBorder="1"/>
    <xf numFmtId="0" fontId="22" fillId="0" borderId="12" xfId="0" applyFont="1" applyBorder="1" applyAlignment="1">
      <alignment horizontal="left" vertical="center" wrapText="1"/>
    </xf>
    <xf numFmtId="0" fontId="22" fillId="0" borderId="12" xfId="0" applyFont="1" applyBorder="1" applyAlignment="1">
      <alignment horizontal="center" vertical="center" wrapText="1"/>
    </xf>
    <xf numFmtId="2" fontId="22" fillId="0" borderId="12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left" vertical="center" wrapText="1"/>
    </xf>
    <xf numFmtId="49" fontId="6" fillId="0" borderId="12" xfId="0" applyNumberFormat="1" applyFont="1" applyBorder="1"/>
    <xf numFmtId="0" fontId="23" fillId="0" borderId="12" xfId="0" applyFont="1" applyBorder="1" applyAlignment="1">
      <alignment horizontal="left" vertical="center" wrapText="1"/>
    </xf>
    <xf numFmtId="0" fontId="23" fillId="0" borderId="12" xfId="0" applyFont="1" applyBorder="1" applyAlignment="1">
      <alignment horizontal="center" vertical="center" wrapText="1"/>
    </xf>
    <xf numFmtId="2" fontId="23" fillId="0" borderId="12" xfId="0" applyNumberFormat="1" applyFont="1" applyBorder="1" applyAlignment="1">
      <alignment horizontal="center" vertical="center" wrapText="1"/>
    </xf>
    <xf numFmtId="49" fontId="9" fillId="0" borderId="11" xfId="0" applyNumberFormat="1" applyFont="1" applyBorder="1"/>
    <xf numFmtId="2" fontId="9" fillId="0" borderId="0" xfId="0" applyNumberFormat="1" applyFont="1"/>
    <xf numFmtId="2" fontId="10" fillId="0" borderId="0" xfId="0" applyNumberFormat="1" applyFont="1"/>
    <xf numFmtId="0" fontId="10" fillId="0" borderId="0" xfId="0" applyFont="1"/>
    <xf numFmtId="2" fontId="9" fillId="0" borderId="27" xfId="0" applyNumberFormat="1" applyFont="1" applyBorder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9" fontId="9" fillId="0" borderId="5" xfId="0" applyNumberFormat="1" applyFont="1" applyBorder="1" applyAlignment="1">
      <alignment horizontal="center" vertical="center" wrapText="1"/>
    </xf>
    <xf numFmtId="9" fontId="9" fillId="0" borderId="9" xfId="0" applyNumberFormat="1" applyFont="1" applyBorder="1" applyAlignment="1">
      <alignment horizontal="center" vertical="center" wrapText="1"/>
    </xf>
    <xf numFmtId="9" fontId="10" fillId="0" borderId="5" xfId="0" applyNumberFormat="1" applyFont="1" applyBorder="1" applyAlignment="1">
      <alignment horizontal="center" vertical="center" wrapText="1"/>
    </xf>
    <xf numFmtId="9" fontId="10" fillId="0" borderId="9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8" fillId="0" borderId="0" xfId="0" applyFont="1"/>
    <xf numFmtId="2" fontId="10" fillId="0" borderId="1" xfId="0" applyNumberFormat="1" applyFont="1" applyBorder="1" applyAlignment="1">
      <alignment horizontal="center" wrapText="1"/>
    </xf>
    <xf numFmtId="2" fontId="10" fillId="0" borderId="2" xfId="0" applyNumberFormat="1" applyFont="1" applyBorder="1" applyAlignment="1">
      <alignment horizontal="center" wrapText="1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0" borderId="0" xfId="0" applyFont="1"/>
    <xf numFmtId="0" fontId="5" fillId="0" borderId="0" xfId="0" applyFont="1"/>
    <xf numFmtId="0" fontId="7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685D2-863F-4307-8822-9D251DA59F97}">
  <dimension ref="A1:AI251"/>
  <sheetViews>
    <sheetView zoomScale="80" zoomScaleNormal="80" workbookViewId="0">
      <selection activeCell="C56" sqref="C56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3" width="11.33203125" style="2" customWidth="1"/>
    <col min="14" max="14" width="11.109375" style="2" customWidth="1"/>
    <col min="15" max="15" width="12.5546875" style="2" customWidth="1"/>
    <col min="16" max="16" width="10.88671875" style="2" customWidth="1"/>
    <col min="17" max="17" width="0.21875" style="2" customWidth="1"/>
    <col min="18" max="18" width="11.5546875" style="2" customWidth="1"/>
    <col min="19" max="19" width="11.886718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4"/>
      <c r="S1" s="16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63"/>
      <c r="N2" s="164"/>
      <c r="O2" s="164"/>
      <c r="P2" s="164"/>
      <c r="Q2" s="164"/>
      <c r="R2" s="164"/>
      <c r="S2" s="164"/>
    </row>
    <row r="3" spans="1:35" ht="40.799999999999997" customHeight="1" x14ac:dyDescent="0.35">
      <c r="B3" s="165" t="s">
        <v>0</v>
      </c>
      <c r="C3" s="166"/>
      <c r="D3" s="166"/>
      <c r="E3" s="4"/>
      <c r="F3" s="4"/>
      <c r="G3" s="4"/>
      <c r="H3" s="4"/>
      <c r="I3" s="4"/>
      <c r="J3" s="4"/>
      <c r="K3" s="4"/>
      <c r="L3" s="4"/>
      <c r="M3" s="167" t="s">
        <v>1</v>
      </c>
      <c r="N3" s="168"/>
      <c r="O3" s="168"/>
      <c r="P3" s="168"/>
      <c r="Q3" s="168"/>
      <c r="R3" s="168"/>
      <c r="S3" s="168"/>
    </row>
    <row r="4" spans="1:35" ht="11.4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/>
      <c r="N4"/>
      <c r="O4"/>
      <c r="P4"/>
      <c r="Q4"/>
      <c r="R4"/>
      <c r="S4"/>
    </row>
    <row r="5" spans="1:35" ht="17.399999999999999" x14ac:dyDescent="0.3">
      <c r="B5" s="169" t="s">
        <v>2</v>
      </c>
      <c r="C5" s="169"/>
      <c r="D5" s="169"/>
      <c r="G5" s="8"/>
      <c r="H5" s="8"/>
      <c r="I5" s="8"/>
      <c r="J5" s="8"/>
      <c r="K5" s="8"/>
      <c r="L5" s="8"/>
      <c r="M5" s="143" t="s">
        <v>3</v>
      </c>
      <c r="N5" s="144"/>
      <c r="O5" s="144"/>
      <c r="P5" s="144"/>
      <c r="Q5" s="9"/>
      <c r="R5" s="9"/>
      <c r="S5" s="3"/>
    </row>
    <row r="6" spans="1:35" ht="29.4" customHeight="1" x14ac:dyDescent="0.3">
      <c r="B6" s="10"/>
      <c r="G6" s="11"/>
      <c r="H6" s="12"/>
      <c r="M6" s="155" t="s">
        <v>4</v>
      </c>
      <c r="N6" s="144"/>
      <c r="O6" s="144"/>
      <c r="P6" s="144"/>
      <c r="Q6" s="144"/>
      <c r="R6" s="144"/>
      <c r="S6" s="144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6" t="s">
        <v>313</v>
      </c>
      <c r="P8" s="157"/>
      <c r="Q8" s="13"/>
      <c r="R8" s="13"/>
      <c r="S8" s="158" t="s">
        <v>6</v>
      </c>
      <c r="T8" s="158"/>
      <c r="U8" s="158"/>
      <c r="V8" s="158"/>
      <c r="W8" s="158"/>
      <c r="X8" s="158"/>
      <c r="Y8" s="158"/>
      <c r="Z8" s="158"/>
      <c r="AA8" s="158"/>
      <c r="AB8" s="158"/>
      <c r="AC8" s="158"/>
      <c r="AD8" s="158"/>
      <c r="AE8" s="158"/>
      <c r="AF8" s="158"/>
      <c r="AG8" s="158"/>
      <c r="AH8" s="158"/>
      <c r="AI8" s="14"/>
    </row>
    <row r="9" spans="1:35" ht="23.4" customHeight="1" x14ac:dyDescent="0.3">
      <c r="B9" s="159" t="s">
        <v>7</v>
      </c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4" t="s">
        <v>8</v>
      </c>
    </row>
    <row r="10" spans="1:35" ht="27.6" customHeight="1" thickBot="1" x14ac:dyDescent="0.35">
      <c r="B10" s="160" t="s">
        <v>9</v>
      </c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</row>
    <row r="11" spans="1:35" ht="37.950000000000003" customHeight="1" x14ac:dyDescent="0.25">
      <c r="A11" s="161"/>
      <c r="B11" s="149" t="s">
        <v>10</v>
      </c>
      <c r="C11" s="151" t="s">
        <v>11</v>
      </c>
      <c r="D11" s="151" t="s">
        <v>12</v>
      </c>
      <c r="E11" s="151" t="s">
        <v>13</v>
      </c>
      <c r="F11" s="151" t="s">
        <v>14</v>
      </c>
      <c r="G11" s="151" t="s">
        <v>15</v>
      </c>
      <c r="H11" s="151" t="s">
        <v>16</v>
      </c>
      <c r="I11" s="151"/>
      <c r="J11" s="151"/>
      <c r="K11" s="151"/>
      <c r="L11" s="147" t="s">
        <v>17</v>
      </c>
      <c r="M11" s="147" t="s">
        <v>18</v>
      </c>
      <c r="N11" s="147" t="s">
        <v>19</v>
      </c>
      <c r="O11" s="145" t="s">
        <v>20</v>
      </c>
      <c r="P11" s="147" t="s">
        <v>21</v>
      </c>
      <c r="Q11" s="149"/>
      <c r="R11" s="151" t="s">
        <v>22</v>
      </c>
      <c r="S11" s="153" t="s">
        <v>23</v>
      </c>
    </row>
    <row r="12" spans="1:35" ht="64.95" customHeight="1" thickBot="1" x14ac:dyDescent="0.3">
      <c r="A12" s="162"/>
      <c r="B12" s="150"/>
      <c r="C12" s="152"/>
      <c r="D12" s="152"/>
      <c r="E12" s="152"/>
      <c r="F12" s="152"/>
      <c r="G12" s="152"/>
      <c r="H12" s="16" t="s">
        <v>24</v>
      </c>
      <c r="I12" s="17" t="s">
        <v>25</v>
      </c>
      <c r="J12" s="17" t="s">
        <v>26</v>
      </c>
      <c r="K12" s="16" t="s">
        <v>27</v>
      </c>
      <c r="L12" s="148"/>
      <c r="M12" s="148"/>
      <c r="N12" s="148"/>
      <c r="O12" s="146"/>
      <c r="P12" s="148"/>
      <c r="Q12" s="150"/>
      <c r="R12" s="152"/>
      <c r="S12" s="154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R14*12</f>
        <v>645000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R15*12</f>
        <v>270000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270000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5815</v>
      </c>
      <c r="F17" s="23"/>
      <c r="G17" s="23">
        <f>E17</f>
        <v>5815</v>
      </c>
      <c r="H17" s="23">
        <f>G17*0.5</f>
        <v>2907.5</v>
      </c>
      <c r="I17" s="23" t="s">
        <v>37</v>
      </c>
      <c r="J17" s="24"/>
      <c r="K17" s="22">
        <f>G17*0.3</f>
        <v>1744.5</v>
      </c>
      <c r="L17" s="23"/>
      <c r="M17" s="24"/>
      <c r="N17" s="23"/>
      <c r="O17" s="26">
        <f>G17*200%</f>
        <v>11630</v>
      </c>
      <c r="P17" s="24"/>
      <c r="Q17" s="22"/>
      <c r="R17" s="23">
        <f>N17+K17+H17+E17+L17+O17</f>
        <v>22097</v>
      </c>
      <c r="S17" s="25">
        <f t="shared" si="0"/>
        <v>265164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4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480000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5240*C19</f>
        <v>10480</v>
      </c>
      <c r="F19" s="23"/>
      <c r="G19" s="23">
        <f t="shared" si="1"/>
        <v>10480</v>
      </c>
      <c r="H19" s="23">
        <f t="shared" ref="H19:H26" si="2">G19*0.5</f>
        <v>5240</v>
      </c>
      <c r="I19" s="23"/>
      <c r="J19" s="23"/>
      <c r="K19" s="23"/>
      <c r="L19" s="23" t="s">
        <v>44</v>
      </c>
      <c r="M19" s="23"/>
      <c r="N19" s="23"/>
      <c r="O19" s="23">
        <f>10480*C19</f>
        <v>20960</v>
      </c>
      <c r="P19" s="23" t="s">
        <v>8</v>
      </c>
      <c r="Q19" s="23"/>
      <c r="R19" s="23">
        <f>G19+H19+O19</f>
        <v>36680</v>
      </c>
      <c r="S19" s="25">
        <f t="shared" si="0"/>
        <v>440160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8</v>
      </c>
      <c r="E20" s="23">
        <v>5240</v>
      </c>
      <c r="F20" s="23"/>
      <c r="G20" s="23">
        <f t="shared" si="1"/>
        <v>5240</v>
      </c>
      <c r="H20" s="23">
        <f t="shared" si="2"/>
        <v>2620</v>
      </c>
      <c r="I20" s="23"/>
      <c r="J20" s="23"/>
      <c r="K20" s="23"/>
      <c r="L20" s="23" t="s">
        <v>44</v>
      </c>
      <c r="M20" s="23"/>
      <c r="N20" s="23"/>
      <c r="O20" s="23">
        <v>10480</v>
      </c>
      <c r="P20" s="23" t="s">
        <v>8</v>
      </c>
      <c r="Q20" s="23"/>
      <c r="R20" s="23">
        <f>G20+H20+O20</f>
        <v>18340</v>
      </c>
      <c r="S20" s="25">
        <f t="shared" si="0"/>
        <v>220080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5240</v>
      </c>
      <c r="F21" s="22"/>
      <c r="G21" s="23">
        <f t="shared" si="1"/>
        <v>5240</v>
      </c>
      <c r="H21" s="23">
        <f t="shared" si="2"/>
        <v>2620</v>
      </c>
      <c r="I21" s="24"/>
      <c r="J21" s="24"/>
      <c r="K21" s="22"/>
      <c r="L21" s="24"/>
      <c r="M21" s="24"/>
      <c r="N21" s="23"/>
      <c r="O21" s="23">
        <f>G21*200%</f>
        <v>10480</v>
      </c>
      <c r="P21" s="24"/>
      <c r="Q21" s="22"/>
      <c r="R21" s="23">
        <f t="shared" ref="R21:R25" si="3">G21+H21+O21</f>
        <v>18340</v>
      </c>
      <c r="S21" s="25">
        <f t="shared" si="0"/>
        <v>220080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4633</v>
      </c>
      <c r="F22" s="22"/>
      <c r="G22" s="23">
        <f t="shared" si="1"/>
        <v>4633</v>
      </c>
      <c r="H22" s="22">
        <f t="shared" si="2"/>
        <v>2316.5</v>
      </c>
      <c r="I22" s="24"/>
      <c r="J22" s="24"/>
      <c r="K22" s="22"/>
      <c r="L22" s="24"/>
      <c r="M22" s="24"/>
      <c r="N22" s="23"/>
      <c r="O22" s="23">
        <f>G22*200%</f>
        <v>9266</v>
      </c>
      <c r="P22" s="24"/>
      <c r="Q22" s="22"/>
      <c r="R22" s="23">
        <f t="shared" si="3"/>
        <v>16215.5</v>
      </c>
      <c r="S22" s="25">
        <f t="shared" si="0"/>
        <v>194586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E22/2</f>
        <v>2316.5</v>
      </c>
      <c r="F23" s="22"/>
      <c r="G23" s="23">
        <f t="shared" si="1"/>
        <v>2316.5</v>
      </c>
      <c r="H23" s="22">
        <f t="shared" si="2"/>
        <v>1158.25</v>
      </c>
      <c r="I23" s="24"/>
      <c r="J23" s="24"/>
      <c r="K23" s="22"/>
      <c r="L23" s="24"/>
      <c r="M23" s="24"/>
      <c r="N23" s="23"/>
      <c r="O23" s="23">
        <f>G23*150%</f>
        <v>3474.75</v>
      </c>
      <c r="P23" s="24"/>
      <c r="Q23" s="22"/>
      <c r="R23" s="23">
        <f t="shared" si="3"/>
        <v>6949.5</v>
      </c>
      <c r="S23" s="25">
        <f t="shared" si="0"/>
        <v>83394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4058</v>
      </c>
      <c r="F24" s="22"/>
      <c r="G24" s="23">
        <f t="shared" si="1"/>
        <v>4058</v>
      </c>
      <c r="H24" s="22">
        <f t="shared" si="2"/>
        <v>2029</v>
      </c>
      <c r="I24" s="24"/>
      <c r="J24" s="24"/>
      <c r="K24" s="22"/>
      <c r="L24" s="24"/>
      <c r="M24" s="24"/>
      <c r="N24" s="23"/>
      <c r="O24" s="23">
        <f>G24*200%</f>
        <v>8116</v>
      </c>
      <c r="P24" s="24"/>
      <c r="Q24" s="22"/>
      <c r="R24" s="23">
        <f t="shared" si="3"/>
        <v>14203</v>
      </c>
      <c r="S24" s="25">
        <f t="shared" si="0"/>
        <v>170436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5527</v>
      </c>
      <c r="F25" s="23"/>
      <c r="G25" s="23">
        <f t="shared" si="1"/>
        <v>5527</v>
      </c>
      <c r="H25" s="23">
        <f t="shared" si="2"/>
        <v>2763.5</v>
      </c>
      <c r="I25" s="23"/>
      <c r="J25" s="23"/>
      <c r="K25" s="23"/>
      <c r="L25" s="23"/>
      <c r="M25" s="23"/>
      <c r="N25" s="23"/>
      <c r="O25" s="23">
        <f>G25*150%</f>
        <v>8290.5</v>
      </c>
      <c r="P25" s="23"/>
      <c r="Q25" s="23"/>
      <c r="R25" s="23">
        <f t="shared" si="3"/>
        <v>16581</v>
      </c>
      <c r="S25" s="25">
        <f t="shared" si="0"/>
        <v>198972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4058*C26</f>
        <v>4058</v>
      </c>
      <c r="F26" s="22"/>
      <c r="G26" s="23">
        <f t="shared" si="1"/>
        <v>4058</v>
      </c>
      <c r="H26" s="22">
        <f t="shared" si="2"/>
        <v>2029</v>
      </c>
      <c r="I26" s="24"/>
      <c r="J26" s="24"/>
      <c r="K26" s="22"/>
      <c r="L26" s="24"/>
      <c r="M26" s="24"/>
      <c r="N26" s="23"/>
      <c r="O26" s="23">
        <f>G26*150%</f>
        <v>6087</v>
      </c>
      <c r="P26" s="24"/>
      <c r="Q26" s="22"/>
      <c r="R26" s="23">
        <f>G26+H26+O26</f>
        <v>12174</v>
      </c>
      <c r="S26" s="25">
        <f t="shared" si="0"/>
        <v>146088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137367.5</v>
      </c>
      <c r="F27" s="34"/>
      <c r="G27" s="35">
        <f>SUM(G14:G26)</f>
        <v>137367.5</v>
      </c>
      <c r="H27" s="34">
        <f>SUM(H14:H26)</f>
        <v>23683.75</v>
      </c>
      <c r="I27" s="90"/>
      <c r="J27" s="90"/>
      <c r="K27" s="34">
        <f>SUM(K14:K26)</f>
        <v>1744.5</v>
      </c>
      <c r="L27" s="90"/>
      <c r="M27" s="34">
        <f>SUM(M14:M26)</f>
        <v>3750</v>
      </c>
      <c r="N27" s="35"/>
      <c r="O27" s="35">
        <f>SUM(O14:O26)</f>
        <v>133784.25</v>
      </c>
      <c r="P27" s="90"/>
      <c r="Q27" s="34"/>
      <c r="R27" s="35">
        <f>SUM(R14:R26)</f>
        <v>300330</v>
      </c>
      <c r="S27" s="36">
        <f>SUM(S14:S26)</f>
        <v>3603960</v>
      </c>
    </row>
    <row r="28" spans="1:19" s="13" customFormat="1" ht="19.8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93"/>
    </row>
    <row r="29" spans="1:19" x14ac:dyDescent="0.25">
      <c r="A29" s="20" t="s">
        <v>61</v>
      </c>
      <c r="B29" s="21" t="s">
        <v>62</v>
      </c>
      <c r="C29" s="22">
        <v>1</v>
      </c>
      <c r="D29" s="22">
        <v>7</v>
      </c>
      <c r="E29" s="23">
        <v>4920</v>
      </c>
      <c r="F29" s="22"/>
      <c r="G29" s="23">
        <f t="shared" ref="G29:G31" si="4">E29+F29</f>
        <v>4920</v>
      </c>
      <c r="H29" s="23"/>
      <c r="I29" s="23"/>
      <c r="J29" s="23"/>
      <c r="K29" s="23"/>
      <c r="L29" s="23"/>
      <c r="M29" s="23"/>
      <c r="N29" s="23"/>
      <c r="O29" s="23"/>
      <c r="P29" s="23">
        <f>8000*C29-G29</f>
        <v>3080</v>
      </c>
      <c r="Q29" s="23"/>
      <c r="R29" s="23">
        <f>G29+H29+I29+ J29+K29+L29+N29+O29+P29</f>
        <v>8000</v>
      </c>
      <c r="S29" s="25">
        <f>R29*12</f>
        <v>96000</v>
      </c>
    </row>
    <row r="30" spans="1:19" x14ac:dyDescent="0.25">
      <c r="A30" s="20" t="s">
        <v>63</v>
      </c>
      <c r="B30" s="21" t="s">
        <v>64</v>
      </c>
      <c r="C30" s="22">
        <v>1</v>
      </c>
      <c r="D30" s="22">
        <v>1</v>
      </c>
      <c r="E30" s="23">
        <v>3195</v>
      </c>
      <c r="F30" s="22"/>
      <c r="G30" s="23">
        <f t="shared" si="4"/>
        <v>3195</v>
      </c>
      <c r="H30" s="23"/>
      <c r="I30" s="23"/>
      <c r="J30" s="23"/>
      <c r="K30" s="23"/>
      <c r="L30" s="23"/>
      <c r="M30" s="23"/>
      <c r="N30" s="23"/>
      <c r="O30" s="23"/>
      <c r="P30" s="23">
        <f>8000-G30</f>
        <v>4805</v>
      </c>
      <c r="Q30" s="23"/>
      <c r="R30" s="23">
        <f t="shared" ref="R30:R31" si="5">G30+H30+I30+ J30+K30+L30+N30+O30+P30</f>
        <v>8000</v>
      </c>
      <c r="S30" s="25">
        <f t="shared" ref="S30:S35" si="6">R30*12</f>
        <v>96000</v>
      </c>
    </row>
    <row r="31" spans="1:19" x14ac:dyDescent="0.25">
      <c r="A31" s="20" t="s">
        <v>65</v>
      </c>
      <c r="B31" s="21" t="s">
        <v>66</v>
      </c>
      <c r="C31" s="22">
        <v>1</v>
      </c>
      <c r="D31" s="22">
        <v>1</v>
      </c>
      <c r="E31" s="23">
        <v>3195</v>
      </c>
      <c r="F31" s="22"/>
      <c r="G31" s="23">
        <f t="shared" si="4"/>
        <v>3195</v>
      </c>
      <c r="H31" s="23"/>
      <c r="I31" s="23"/>
      <c r="J31" s="23"/>
      <c r="K31" s="23"/>
      <c r="L31" s="23"/>
      <c r="M31" s="23"/>
      <c r="N31" s="23"/>
      <c r="O31" s="23"/>
      <c r="P31" s="23">
        <f t="shared" ref="P31" si="7">8000-G31</f>
        <v>4805</v>
      </c>
      <c r="Q31" s="23"/>
      <c r="R31" s="23">
        <f t="shared" si="5"/>
        <v>8000</v>
      </c>
      <c r="S31" s="25">
        <f t="shared" si="6"/>
        <v>96000</v>
      </c>
    </row>
    <row r="32" spans="1:19" x14ac:dyDescent="0.25">
      <c r="A32" s="20" t="s">
        <v>67</v>
      </c>
      <c r="B32" s="21" t="s">
        <v>68</v>
      </c>
      <c r="C32" s="22">
        <v>2</v>
      </c>
      <c r="D32" s="22">
        <v>3</v>
      </c>
      <c r="E32" s="23">
        <f>3770*C32</f>
        <v>7540</v>
      </c>
      <c r="F32" s="22"/>
      <c r="G32" s="23">
        <f t="shared" si="1"/>
        <v>7540</v>
      </c>
      <c r="H32" s="23"/>
      <c r="I32" s="23"/>
      <c r="J32" s="23"/>
      <c r="K32" s="23"/>
      <c r="L32" s="23"/>
      <c r="M32" s="23"/>
      <c r="N32" s="23"/>
      <c r="O32" s="23"/>
      <c r="P32" s="23">
        <f>8000*C32-G32</f>
        <v>8460</v>
      </c>
      <c r="Q32" s="23"/>
      <c r="R32" s="23">
        <f>G32+H32+I32+ J32+K32+L32+N32+O32+P32</f>
        <v>16000</v>
      </c>
      <c r="S32" s="25">
        <f t="shared" si="6"/>
        <v>192000</v>
      </c>
    </row>
    <row r="33" spans="1:19" ht="12.6" customHeight="1" x14ac:dyDescent="0.25">
      <c r="A33" s="20" t="s">
        <v>69</v>
      </c>
      <c r="B33" s="21" t="s">
        <v>70</v>
      </c>
      <c r="C33" s="22">
        <v>1</v>
      </c>
      <c r="D33" s="22">
        <v>2</v>
      </c>
      <c r="E33" s="23">
        <v>3483</v>
      </c>
      <c r="F33" s="22">
        <f>E33*0.2</f>
        <v>696.6</v>
      </c>
      <c r="G33" s="23">
        <f t="shared" si="1"/>
        <v>4179.6000000000004</v>
      </c>
      <c r="H33" s="23"/>
      <c r="I33" s="23"/>
      <c r="J33" s="23">
        <f>G33*4%</f>
        <v>167.18400000000003</v>
      </c>
      <c r="K33" s="23"/>
      <c r="L33" s="23"/>
      <c r="M33" s="23"/>
      <c r="N33" s="23"/>
      <c r="O33" s="23"/>
      <c r="P33" s="23">
        <f>8000-E33</f>
        <v>4517</v>
      </c>
      <c r="Q33" s="23"/>
      <c r="R33" s="23">
        <f>G33+J33+P33</f>
        <v>8863.7839999999997</v>
      </c>
      <c r="S33" s="25">
        <f t="shared" si="6"/>
        <v>106365.408</v>
      </c>
    </row>
    <row r="34" spans="1:19" ht="18" customHeight="1" x14ac:dyDescent="0.25">
      <c r="A34" s="20" t="s">
        <v>71</v>
      </c>
      <c r="B34" s="21" t="s">
        <v>72</v>
      </c>
      <c r="C34" s="22">
        <v>1</v>
      </c>
      <c r="D34" s="22">
        <v>1</v>
      </c>
      <c r="E34" s="23">
        <v>3195</v>
      </c>
      <c r="F34" s="22"/>
      <c r="G34" s="23">
        <f t="shared" si="1"/>
        <v>3195</v>
      </c>
      <c r="H34" s="23"/>
      <c r="I34" s="23"/>
      <c r="J34" s="23"/>
      <c r="K34" s="23"/>
      <c r="L34" s="23"/>
      <c r="M34" s="23"/>
      <c r="N34" s="23"/>
      <c r="O34" s="23"/>
      <c r="P34" s="23">
        <f>8000-G34</f>
        <v>4805</v>
      </c>
      <c r="Q34" s="23"/>
      <c r="R34" s="23">
        <f t="shared" ref="R34" si="8">G34+H34+I34+ J34+K34+L34+N34+O34+P34</f>
        <v>8000</v>
      </c>
      <c r="S34" s="25">
        <f t="shared" si="6"/>
        <v>96000</v>
      </c>
    </row>
    <row r="35" spans="1:19" x14ac:dyDescent="0.25">
      <c r="A35" s="20" t="s">
        <v>73</v>
      </c>
      <c r="B35" s="21" t="s">
        <v>74</v>
      </c>
      <c r="C35" s="22">
        <v>1</v>
      </c>
      <c r="D35" s="22">
        <v>5</v>
      </c>
      <c r="E35" s="23">
        <v>4345</v>
      </c>
      <c r="F35" s="23"/>
      <c r="G35" s="23">
        <f>E35+F35</f>
        <v>4345</v>
      </c>
      <c r="H35" s="23"/>
      <c r="I35" s="23"/>
      <c r="J35" s="23"/>
      <c r="K35" s="23"/>
      <c r="L35" s="23"/>
      <c r="M35" s="23"/>
      <c r="N35" s="23"/>
      <c r="O35" s="23"/>
      <c r="P35" s="23">
        <f>8000-G35</f>
        <v>3655</v>
      </c>
      <c r="Q35" s="32"/>
      <c r="R35" s="23">
        <f>G35+P35</f>
        <v>8000</v>
      </c>
      <c r="S35" s="25">
        <f t="shared" si="6"/>
        <v>96000</v>
      </c>
    </row>
    <row r="36" spans="1:19" s="27" customFormat="1" ht="26.4" customHeight="1" thickBot="1" x14ac:dyDescent="0.3">
      <c r="A36" s="64"/>
      <c r="B36" s="47" t="s">
        <v>59</v>
      </c>
      <c r="C36" s="34">
        <f>SUM(C29:C35)</f>
        <v>8</v>
      </c>
      <c r="D36" s="34"/>
      <c r="E36" s="35">
        <f>SUM(E29:E35)</f>
        <v>29873</v>
      </c>
      <c r="F36" s="34">
        <f>SUM(F29:F35)</f>
        <v>696.6</v>
      </c>
      <c r="G36" s="35">
        <f>E36+F36</f>
        <v>30569.599999999999</v>
      </c>
      <c r="H36" s="35"/>
      <c r="I36" s="35">
        <f>SUM(I29:I34)</f>
        <v>0</v>
      </c>
      <c r="J36" s="35">
        <f>SUM(J29:J34)</f>
        <v>167.18400000000003</v>
      </c>
      <c r="K36" s="35"/>
      <c r="L36" s="35"/>
      <c r="M36" s="35"/>
      <c r="N36" s="35"/>
      <c r="O36" s="35"/>
      <c r="P36" s="35">
        <f>SUM(P29:P35)</f>
        <v>34127</v>
      </c>
      <c r="Q36" s="35"/>
      <c r="R36" s="35">
        <f>SUM(R29:R35)</f>
        <v>64863.784</v>
      </c>
      <c r="S36" s="36">
        <f>SUM(S29:S35)</f>
        <v>778365.40800000005</v>
      </c>
    </row>
    <row r="37" spans="1:19" ht="19.8" customHeight="1" x14ac:dyDescent="0.25">
      <c r="A37" s="18"/>
      <c r="B37" s="86" t="s">
        <v>75</v>
      </c>
      <c r="C37" s="85"/>
      <c r="D37" s="85"/>
      <c r="E37" s="85"/>
      <c r="F37" s="85"/>
      <c r="G37" s="94"/>
      <c r="H37" s="85" t="s">
        <v>76</v>
      </c>
      <c r="I37" s="95"/>
      <c r="J37" s="95"/>
      <c r="K37" s="85"/>
      <c r="L37" s="95"/>
      <c r="M37" s="95"/>
      <c r="N37" s="95"/>
      <c r="O37" s="95"/>
      <c r="P37" s="95"/>
      <c r="Q37" s="85"/>
      <c r="R37" s="85"/>
      <c r="S37" s="96"/>
    </row>
    <row r="38" spans="1:19" s="13" customFormat="1" x14ac:dyDescent="0.2">
      <c r="A38" s="28" t="s">
        <v>77</v>
      </c>
      <c r="B38" s="21" t="s">
        <v>78</v>
      </c>
      <c r="C38" s="22">
        <v>2.5</v>
      </c>
      <c r="D38" s="22">
        <v>2</v>
      </c>
      <c r="E38" s="23">
        <f>3483*C38</f>
        <v>8707.5</v>
      </c>
      <c r="F38" s="22"/>
      <c r="G38" s="23">
        <f t="shared" ref="G38:G39" si="9">E38+F38</f>
        <v>8707.5</v>
      </c>
      <c r="H38" s="23"/>
      <c r="I38" s="23"/>
      <c r="J38" s="23"/>
      <c r="K38" s="23"/>
      <c r="L38" s="23"/>
      <c r="M38" s="23"/>
      <c r="N38" s="23"/>
      <c r="O38" s="23"/>
      <c r="P38" s="23">
        <f>8000*C38-G38</f>
        <v>11292.5</v>
      </c>
      <c r="Q38" s="23"/>
      <c r="R38" s="23">
        <f t="shared" ref="R38" si="10">G38+H38+I38+ J38+K38+L38+N38+O38+P38</f>
        <v>20000</v>
      </c>
      <c r="S38" s="25">
        <f>R38*12</f>
        <v>240000</v>
      </c>
    </row>
    <row r="39" spans="1:19" s="37" customFormat="1" ht="25.2" customHeight="1" thickBot="1" x14ac:dyDescent="0.3">
      <c r="A39" s="33"/>
      <c r="B39" s="34" t="s">
        <v>59</v>
      </c>
      <c r="C39" s="34">
        <f>SUM(C38:C38)</f>
        <v>2.5</v>
      </c>
      <c r="D39" s="34"/>
      <c r="E39" s="35">
        <f>SUM(E38:E38)</f>
        <v>8707.5</v>
      </c>
      <c r="F39" s="34"/>
      <c r="G39" s="35">
        <f t="shared" si="9"/>
        <v>8707.5</v>
      </c>
      <c r="H39" s="35"/>
      <c r="I39" s="35"/>
      <c r="J39" s="35"/>
      <c r="K39" s="35"/>
      <c r="L39" s="35"/>
      <c r="M39" s="35"/>
      <c r="N39" s="35"/>
      <c r="O39" s="35"/>
      <c r="P39" s="35">
        <f>SUM(P38:P38)</f>
        <v>11292.5</v>
      </c>
      <c r="Q39" s="35"/>
      <c r="R39" s="35">
        <f>SUM(G39:Q39)</f>
        <v>20000</v>
      </c>
      <c r="S39" s="36">
        <f>SUM(S38:S38)</f>
        <v>240000</v>
      </c>
    </row>
    <row r="40" spans="1:19" s="38" customFormat="1" ht="26.4" customHeight="1" x14ac:dyDescent="0.25">
      <c r="A40" s="18"/>
      <c r="B40" s="86" t="s">
        <v>79</v>
      </c>
      <c r="C40" s="86"/>
      <c r="D40" s="86"/>
      <c r="E40" s="86"/>
      <c r="F40" s="86"/>
      <c r="G40" s="94"/>
      <c r="H40" s="86"/>
      <c r="I40" s="19"/>
      <c r="J40" s="19"/>
      <c r="K40" s="86"/>
      <c r="L40" s="19"/>
      <c r="M40" s="19"/>
      <c r="N40" s="19"/>
      <c r="O40" s="19"/>
      <c r="P40" s="19"/>
      <c r="Q40" s="86"/>
      <c r="R40" s="86"/>
      <c r="S40" s="87"/>
    </row>
    <row r="41" spans="1:19" s="38" customFormat="1" ht="16.95" customHeight="1" x14ac:dyDescent="0.25">
      <c r="A41" s="20" t="s">
        <v>80</v>
      </c>
      <c r="B41" s="21" t="s">
        <v>64</v>
      </c>
      <c r="C41" s="22">
        <v>0.5</v>
      </c>
      <c r="D41" s="22">
        <v>1</v>
      </c>
      <c r="E41" s="22">
        <v>1597.5</v>
      </c>
      <c r="F41" s="22"/>
      <c r="G41" s="22">
        <v>1597.5</v>
      </c>
      <c r="H41" s="22"/>
      <c r="I41" s="24"/>
      <c r="J41" s="24"/>
      <c r="K41" s="22"/>
      <c r="L41" s="24"/>
      <c r="M41" s="24"/>
      <c r="N41" s="24"/>
      <c r="O41" s="24"/>
      <c r="P41" s="23">
        <f>8000/2-G41</f>
        <v>2402.5</v>
      </c>
      <c r="Q41" s="22"/>
      <c r="R41" s="23">
        <f t="shared" ref="R41" si="11">G41+H41+I41+ J41+K41+L41+N41+O41+P41</f>
        <v>4000</v>
      </c>
      <c r="S41" s="25">
        <f>R41*12</f>
        <v>48000</v>
      </c>
    </row>
    <row r="42" spans="1:19" x14ac:dyDescent="0.25">
      <c r="A42" s="20" t="s">
        <v>81</v>
      </c>
      <c r="B42" s="21" t="s">
        <v>82</v>
      </c>
      <c r="C42" s="22">
        <v>2</v>
      </c>
      <c r="D42" s="22">
        <v>4</v>
      </c>
      <c r="E42" s="23">
        <f>4058*C42</f>
        <v>8116</v>
      </c>
      <c r="F42" s="22"/>
      <c r="G42" s="23">
        <f t="shared" ref="G42:G43" si="12">E42+F42</f>
        <v>8116</v>
      </c>
      <c r="H42" s="23"/>
      <c r="I42" s="23"/>
      <c r="J42" s="23">
        <f>G42*0.04</f>
        <v>324.64</v>
      </c>
      <c r="K42" s="23"/>
      <c r="L42" s="23"/>
      <c r="M42" s="23"/>
      <c r="N42" s="23"/>
      <c r="O42" s="23"/>
      <c r="P42" s="23">
        <f>8000*C42-G42</f>
        <v>7884</v>
      </c>
      <c r="Q42" s="23"/>
      <c r="R42" s="23">
        <f>SUM(G42:P42)</f>
        <v>16324.64</v>
      </c>
      <c r="S42" s="25">
        <f t="shared" ref="S42:S43" si="13">R42*12</f>
        <v>195895.67999999999</v>
      </c>
    </row>
    <row r="43" spans="1:19" x14ac:dyDescent="0.25">
      <c r="A43" s="20" t="s">
        <v>83</v>
      </c>
      <c r="B43" s="21" t="s">
        <v>84</v>
      </c>
      <c r="C43" s="22">
        <v>2</v>
      </c>
      <c r="D43" s="22">
        <v>1</v>
      </c>
      <c r="E43" s="23">
        <f>3195*C43</f>
        <v>6390</v>
      </c>
      <c r="F43" s="22"/>
      <c r="G43" s="23">
        <f t="shared" si="12"/>
        <v>6390</v>
      </c>
      <c r="H43" s="23"/>
      <c r="I43" s="23">
        <f>G43*0.1</f>
        <v>639</v>
      </c>
      <c r="J43" s="23"/>
      <c r="K43" s="23"/>
      <c r="L43" s="23"/>
      <c r="M43" s="23"/>
      <c r="N43" s="23"/>
      <c r="O43" s="23"/>
      <c r="P43" s="23">
        <f>8000*C43-G43</f>
        <v>9610</v>
      </c>
      <c r="Q43" s="23"/>
      <c r="R43" s="23">
        <f>SUM(G43:P43)</f>
        <v>16639</v>
      </c>
      <c r="S43" s="25">
        <f t="shared" si="13"/>
        <v>199668</v>
      </c>
    </row>
    <row r="44" spans="1:19" s="37" customFormat="1" ht="27.6" customHeight="1" thickBot="1" x14ac:dyDescent="0.3">
      <c r="A44" s="33"/>
      <c r="B44" s="34" t="s">
        <v>59</v>
      </c>
      <c r="C44" s="34">
        <f>SUM(C41:C43)</f>
        <v>4.5</v>
      </c>
      <c r="D44" s="34"/>
      <c r="E44" s="35">
        <f>SUM(E41:E43)</f>
        <v>16103.5</v>
      </c>
      <c r="F44" s="34"/>
      <c r="G44" s="35">
        <f>SUM(G41:G43)</f>
        <v>16103.5</v>
      </c>
      <c r="H44" s="35"/>
      <c r="I44" s="35">
        <f>SUM(I43:I43)</f>
        <v>639</v>
      </c>
      <c r="J44" s="35">
        <f>SUM(J42:J43)</f>
        <v>324.64</v>
      </c>
      <c r="K44" s="35"/>
      <c r="L44" s="35"/>
      <c r="M44" s="35"/>
      <c r="N44" s="35"/>
      <c r="O44" s="35"/>
      <c r="P44" s="35">
        <f>SUM(P41:P43)</f>
        <v>19896.5</v>
      </c>
      <c r="Q44" s="35"/>
      <c r="R44" s="35">
        <f>SUM(R41:R43)</f>
        <v>36963.64</v>
      </c>
      <c r="S44" s="36">
        <f>SUM(S41:S43)</f>
        <v>443563.68</v>
      </c>
    </row>
    <row r="45" spans="1:19" s="39" customFormat="1" ht="30" customHeight="1" x14ac:dyDescent="0.25">
      <c r="A45" s="98"/>
      <c r="B45" s="99" t="s">
        <v>85</v>
      </c>
      <c r="C45" s="100"/>
      <c r="D45" s="100"/>
      <c r="E45" s="101"/>
      <c r="F45" s="100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2"/>
    </row>
    <row r="46" spans="1:19" s="42" customFormat="1" x14ac:dyDescent="0.25">
      <c r="A46" s="43" t="s">
        <v>86</v>
      </c>
      <c r="B46" s="21" t="s">
        <v>87</v>
      </c>
      <c r="C46" s="22">
        <v>0.5</v>
      </c>
      <c r="D46" s="22">
        <v>10</v>
      </c>
      <c r="E46" s="23">
        <f>5815*C46</f>
        <v>2907.5</v>
      </c>
      <c r="F46" s="22"/>
      <c r="G46" s="23">
        <f>E46</f>
        <v>2907.5</v>
      </c>
      <c r="H46" s="23"/>
      <c r="I46" s="23"/>
      <c r="J46" s="40"/>
      <c r="K46" s="23">
        <f>G46*0.3</f>
        <v>872.25</v>
      </c>
      <c r="L46" s="41">
        <f>20000*C46-G46-K46</f>
        <v>6220.25</v>
      </c>
      <c r="M46" s="23"/>
      <c r="N46" s="23"/>
      <c r="O46" s="23"/>
      <c r="P46" s="23"/>
      <c r="Q46" s="23"/>
      <c r="R46" s="23">
        <f>G46+K46+L46</f>
        <v>10000</v>
      </c>
      <c r="S46" s="25">
        <f>R46*12</f>
        <v>120000</v>
      </c>
    </row>
    <row r="47" spans="1:19" s="42" customFormat="1" x14ac:dyDescent="0.25">
      <c r="A47" s="43" t="s">
        <v>88</v>
      </c>
      <c r="B47" s="21" t="s">
        <v>89</v>
      </c>
      <c r="C47" s="22">
        <v>3</v>
      </c>
      <c r="D47" s="22">
        <v>9</v>
      </c>
      <c r="E47" s="23">
        <f>5527*C47</f>
        <v>16581</v>
      </c>
      <c r="F47" s="22"/>
      <c r="G47" s="23">
        <f>E47</f>
        <v>16581</v>
      </c>
      <c r="H47" s="23"/>
      <c r="I47" s="23"/>
      <c r="J47" s="40"/>
      <c r="K47" s="23"/>
      <c r="L47" s="23"/>
      <c r="M47" s="23"/>
      <c r="N47" s="23"/>
      <c r="O47" s="23"/>
      <c r="P47" s="23">
        <f>8000*C47-G47</f>
        <v>7419</v>
      </c>
      <c r="Q47" s="23"/>
      <c r="R47" s="23">
        <f>G47+P47</f>
        <v>24000</v>
      </c>
      <c r="S47" s="25">
        <f t="shared" ref="S47:S51" si="14">R47*12</f>
        <v>288000</v>
      </c>
    </row>
    <row r="48" spans="1:19" s="42" customFormat="1" x14ac:dyDescent="0.25">
      <c r="A48" s="43" t="s">
        <v>90</v>
      </c>
      <c r="B48" s="21" t="s">
        <v>91</v>
      </c>
      <c r="C48" s="22">
        <v>1</v>
      </c>
      <c r="D48" s="22">
        <v>10</v>
      </c>
      <c r="E48" s="23">
        <v>5815</v>
      </c>
      <c r="F48" s="22"/>
      <c r="G48" s="23">
        <v>5815</v>
      </c>
      <c r="H48" s="23"/>
      <c r="I48" s="23"/>
      <c r="J48" s="40"/>
      <c r="K48" s="23">
        <f>G48*0.3</f>
        <v>1744.5</v>
      </c>
      <c r="L48" s="41">
        <f>13500-G48-K48</f>
        <v>5940.5</v>
      </c>
      <c r="M48" s="23"/>
      <c r="N48" s="23"/>
      <c r="O48" s="23"/>
      <c r="P48" s="23"/>
      <c r="Q48" s="23"/>
      <c r="R48" s="23">
        <f>G48+K48+L48</f>
        <v>13500</v>
      </c>
      <c r="S48" s="25">
        <f t="shared" si="14"/>
        <v>162000</v>
      </c>
    </row>
    <row r="49" spans="1:20" s="42" customFormat="1" x14ac:dyDescent="0.25">
      <c r="A49" s="43" t="s">
        <v>92</v>
      </c>
      <c r="B49" s="21" t="s">
        <v>93</v>
      </c>
      <c r="C49" s="22">
        <v>1</v>
      </c>
      <c r="D49" s="22">
        <v>4</v>
      </c>
      <c r="E49" s="23">
        <v>4058</v>
      </c>
      <c r="F49" s="22"/>
      <c r="G49" s="23">
        <v>4058</v>
      </c>
      <c r="H49" s="23"/>
      <c r="I49" s="23"/>
      <c r="J49" s="40"/>
      <c r="K49" s="23"/>
      <c r="L49" s="23"/>
      <c r="M49" s="23"/>
      <c r="N49" s="23"/>
      <c r="O49" s="23">
        <f>G49*200%</f>
        <v>8116</v>
      </c>
      <c r="P49" s="23"/>
      <c r="Q49" s="23"/>
      <c r="R49" s="23">
        <f>O49+G49</f>
        <v>12174</v>
      </c>
      <c r="S49" s="25">
        <f t="shared" si="14"/>
        <v>146088</v>
      </c>
    </row>
    <row r="50" spans="1:20" s="42" customFormat="1" x14ac:dyDescent="0.25">
      <c r="A50" s="43" t="s">
        <v>94</v>
      </c>
      <c r="B50" s="21" t="s">
        <v>95</v>
      </c>
      <c r="C50" s="22">
        <v>1</v>
      </c>
      <c r="D50" s="22">
        <v>5</v>
      </c>
      <c r="E50" s="23">
        <v>4345</v>
      </c>
      <c r="F50" s="23"/>
      <c r="G50" s="23">
        <f>E50+F50</f>
        <v>4345</v>
      </c>
      <c r="H50" s="23"/>
      <c r="I50" s="23"/>
      <c r="J50" s="23"/>
      <c r="K50" s="23"/>
      <c r="L50" s="23"/>
      <c r="M50" s="23"/>
      <c r="N50" s="23"/>
      <c r="O50" s="23"/>
      <c r="P50" s="23">
        <f>8000-G50</f>
        <v>3655</v>
      </c>
      <c r="Q50" s="32"/>
      <c r="R50" s="23">
        <f>G50+P50</f>
        <v>8000</v>
      </c>
      <c r="S50" s="25">
        <f t="shared" si="14"/>
        <v>96000</v>
      </c>
    </row>
    <row r="51" spans="1:20" x14ac:dyDescent="0.25">
      <c r="A51" s="43" t="s">
        <v>96</v>
      </c>
      <c r="B51" s="21" t="s">
        <v>97</v>
      </c>
      <c r="C51" s="22">
        <v>0.5</v>
      </c>
      <c r="D51" s="22">
        <v>9</v>
      </c>
      <c r="E51" s="23">
        <v>2763.5</v>
      </c>
      <c r="F51" s="22"/>
      <c r="G51" s="23">
        <f t="shared" ref="G51" si="15">E51+F51</f>
        <v>2763.5</v>
      </c>
      <c r="H51" s="23"/>
      <c r="I51" s="23"/>
      <c r="J51" s="23"/>
      <c r="K51" s="23">
        <f>G51*0.3</f>
        <v>829.05</v>
      </c>
      <c r="L51" s="23">
        <f>6750-G51-K51</f>
        <v>3157.45</v>
      </c>
      <c r="M51" s="23"/>
      <c r="N51" s="23"/>
      <c r="O51" s="23"/>
      <c r="P51" s="23"/>
      <c r="Q51" s="23"/>
      <c r="R51" s="23">
        <f>L51+K51+G51</f>
        <v>6750</v>
      </c>
      <c r="S51" s="25">
        <f t="shared" si="14"/>
        <v>81000</v>
      </c>
    </row>
    <row r="52" spans="1:20" s="45" customFormat="1" thickBot="1" x14ac:dyDescent="0.25">
      <c r="A52" s="103"/>
      <c r="B52" s="104" t="s">
        <v>59</v>
      </c>
      <c r="C52" s="105">
        <f>SUM(C46:C51)</f>
        <v>7</v>
      </c>
      <c r="D52" s="105"/>
      <c r="E52" s="106">
        <f>SUM(E46:E51)</f>
        <v>36470</v>
      </c>
      <c r="F52" s="105"/>
      <c r="G52" s="106">
        <f>SUM(G46:G51)</f>
        <v>36470</v>
      </c>
      <c r="H52" s="106"/>
      <c r="I52" s="106"/>
      <c r="J52" s="106"/>
      <c r="K52" s="106">
        <f>SUM(K46:K51)</f>
        <v>3445.8</v>
      </c>
      <c r="L52" s="106">
        <f>SUM(L46:L51)</f>
        <v>15318.2</v>
      </c>
      <c r="M52" s="106"/>
      <c r="N52" s="106"/>
      <c r="O52" s="106">
        <f>SUM(O46:O50)</f>
        <v>8116</v>
      </c>
      <c r="P52" s="106">
        <f>SUM(P46:P51)</f>
        <v>11074</v>
      </c>
      <c r="Q52" s="106"/>
      <c r="R52" s="106">
        <f>SUM(R46:R51)</f>
        <v>74424</v>
      </c>
      <c r="S52" s="107">
        <f>SUM(S46:S51)</f>
        <v>893088</v>
      </c>
    </row>
    <row r="53" spans="1:20" s="38" customFormat="1" ht="17.399999999999999" customHeight="1" x14ac:dyDescent="0.25">
      <c r="A53" s="108"/>
      <c r="B53" s="86" t="s">
        <v>98</v>
      </c>
      <c r="C53" s="85"/>
      <c r="D53" s="85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109"/>
      <c r="R53" s="94"/>
      <c r="S53" s="110"/>
      <c r="T53" s="46"/>
    </row>
    <row r="54" spans="1:20" s="38" customFormat="1" x14ac:dyDescent="0.25">
      <c r="A54" s="43" t="s">
        <v>99</v>
      </c>
      <c r="B54" s="21" t="s">
        <v>100</v>
      </c>
      <c r="C54" s="22">
        <v>0.5</v>
      </c>
      <c r="D54" s="22">
        <v>14</v>
      </c>
      <c r="E54" s="23">
        <f>7732*C54</f>
        <v>3866</v>
      </c>
      <c r="F54" s="23">
        <f>E54*10%</f>
        <v>386.6</v>
      </c>
      <c r="G54" s="23">
        <f>E54+F54</f>
        <v>4252.6000000000004</v>
      </c>
      <c r="H54" s="23"/>
      <c r="I54" s="23"/>
      <c r="J54" s="23"/>
      <c r="K54" s="23">
        <f>G54*0.3</f>
        <v>1275.78</v>
      </c>
      <c r="L54" s="23">
        <f>20000*C54-G54-K54</f>
        <v>4471.62</v>
      </c>
      <c r="M54" s="23"/>
      <c r="N54" s="23"/>
      <c r="O54" s="23"/>
      <c r="P54" s="23"/>
      <c r="Q54" s="32"/>
      <c r="R54" s="23">
        <f>G54+K54+L54</f>
        <v>10000</v>
      </c>
      <c r="S54" s="25">
        <f>R54*12</f>
        <v>120000</v>
      </c>
      <c r="T54" s="46"/>
    </row>
    <row r="55" spans="1:20" s="38" customFormat="1" x14ac:dyDescent="0.25">
      <c r="A55" s="43" t="s">
        <v>101</v>
      </c>
      <c r="B55" s="21" t="s">
        <v>102</v>
      </c>
      <c r="C55" s="22">
        <v>0.5</v>
      </c>
      <c r="D55" s="22">
        <v>13</v>
      </c>
      <c r="E55" s="23">
        <v>3626</v>
      </c>
      <c r="F55" s="23">
        <f>E55*0.15</f>
        <v>543.9</v>
      </c>
      <c r="G55" s="23">
        <f>E55+F55</f>
        <v>4169.8999999999996</v>
      </c>
      <c r="H55" s="23"/>
      <c r="I55" s="23"/>
      <c r="J55" s="23"/>
      <c r="K55" s="23">
        <f>G55*0.3</f>
        <v>1250.9699999999998</v>
      </c>
      <c r="L55" s="23">
        <f>20000*C55-G55-K55</f>
        <v>4579.130000000001</v>
      </c>
      <c r="M55" s="23"/>
      <c r="N55" s="23"/>
      <c r="O55" s="23"/>
      <c r="P55" s="23"/>
      <c r="Q55" s="32"/>
      <c r="R55" s="23">
        <f>G55+K55+L55</f>
        <v>10000</v>
      </c>
      <c r="S55" s="25">
        <f t="shared" ref="S55:S57" si="16">R55*12</f>
        <v>120000</v>
      </c>
      <c r="T55" s="46"/>
    </row>
    <row r="56" spans="1:20" s="38" customFormat="1" x14ac:dyDescent="0.25">
      <c r="A56" s="43" t="s">
        <v>103</v>
      </c>
      <c r="B56" s="21" t="s">
        <v>104</v>
      </c>
      <c r="C56" s="22">
        <v>0.5</v>
      </c>
      <c r="D56" s="22">
        <v>13</v>
      </c>
      <c r="E56" s="23">
        <v>3626</v>
      </c>
      <c r="F56" s="23">
        <f>E56*0.15</f>
        <v>543.9</v>
      </c>
      <c r="G56" s="23">
        <f>E56+F56</f>
        <v>4169.8999999999996</v>
      </c>
      <c r="H56" s="23"/>
      <c r="I56" s="23"/>
      <c r="J56" s="23"/>
      <c r="K56" s="23">
        <f>G56*0.3</f>
        <v>1250.9699999999998</v>
      </c>
      <c r="L56" s="23">
        <f>10000-G56-K56</f>
        <v>4579.130000000001</v>
      </c>
      <c r="M56" s="23"/>
      <c r="N56" s="23"/>
      <c r="O56" s="23"/>
      <c r="P56" s="23"/>
      <c r="Q56" s="32"/>
      <c r="R56" s="23">
        <f>G56+K56+L56</f>
        <v>10000</v>
      </c>
      <c r="S56" s="25">
        <f t="shared" si="16"/>
        <v>120000</v>
      </c>
      <c r="T56" s="46"/>
    </row>
    <row r="57" spans="1:20" s="38" customFormat="1" x14ac:dyDescent="0.25">
      <c r="A57" s="43" t="s">
        <v>105</v>
      </c>
      <c r="B57" s="21" t="s">
        <v>106</v>
      </c>
      <c r="C57" s="22">
        <v>1</v>
      </c>
      <c r="D57" s="22">
        <v>5</v>
      </c>
      <c r="E57" s="23">
        <v>4345</v>
      </c>
      <c r="F57" s="23"/>
      <c r="G57" s="23">
        <f>E57+F57</f>
        <v>4345</v>
      </c>
      <c r="H57" s="23"/>
      <c r="I57" s="23"/>
      <c r="J57" s="23"/>
      <c r="K57" s="23"/>
      <c r="L57" s="23"/>
      <c r="M57" s="23"/>
      <c r="N57" s="23"/>
      <c r="O57" s="23"/>
      <c r="P57" s="23">
        <f>8000-G57</f>
        <v>3655</v>
      </c>
      <c r="Q57" s="32"/>
      <c r="R57" s="23">
        <f>G57+P57</f>
        <v>8000</v>
      </c>
      <c r="S57" s="25">
        <f t="shared" si="16"/>
        <v>96000</v>
      </c>
      <c r="T57" s="46"/>
    </row>
    <row r="58" spans="1:20" s="49" customFormat="1" ht="13.8" thickBot="1" x14ac:dyDescent="0.3">
      <c r="A58" s="64"/>
      <c r="B58" s="47" t="s">
        <v>59</v>
      </c>
      <c r="C58" s="34">
        <v>2.5</v>
      </c>
      <c r="D58" s="34"/>
      <c r="E58" s="35">
        <f>SUM(E54:E57)</f>
        <v>15463</v>
      </c>
      <c r="F58" s="35">
        <f t="shared" ref="F58" si="17">SUM(F54:F57)</f>
        <v>1474.4</v>
      </c>
      <c r="G58" s="35">
        <f>SUM(G54:G57)</f>
        <v>16937.400000000001</v>
      </c>
      <c r="H58" s="35"/>
      <c r="I58" s="35"/>
      <c r="J58" s="35"/>
      <c r="K58" s="35">
        <f t="shared" ref="K58:L58" si="18">SUM(K54:K57)</f>
        <v>3777.72</v>
      </c>
      <c r="L58" s="35">
        <f t="shared" si="18"/>
        <v>13629.880000000001</v>
      </c>
      <c r="M58" s="35"/>
      <c r="N58" s="35"/>
      <c r="O58" s="35"/>
      <c r="P58" s="35">
        <f t="shared" ref="P58:Q58" si="19">SUM(P54:P57)</f>
        <v>3655</v>
      </c>
      <c r="Q58" s="35">
        <f t="shared" si="19"/>
        <v>0</v>
      </c>
      <c r="R58" s="35">
        <f>SUM(G58:Q58)</f>
        <v>38000</v>
      </c>
      <c r="S58" s="36">
        <f>SUM(S54:S57)</f>
        <v>456000</v>
      </c>
      <c r="T58" s="48"/>
    </row>
    <row r="59" spans="1:20" ht="24" customHeight="1" x14ac:dyDescent="0.25">
      <c r="A59" s="18"/>
      <c r="B59" s="86" t="s">
        <v>107</v>
      </c>
      <c r="C59" s="86"/>
      <c r="D59" s="86"/>
      <c r="E59" s="92"/>
      <c r="F59" s="86"/>
      <c r="G59" s="94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3"/>
    </row>
    <row r="60" spans="1:20" s="13" customFormat="1" ht="38.4" customHeight="1" x14ac:dyDescent="0.2">
      <c r="A60" s="28"/>
      <c r="B60" s="29" t="s">
        <v>108</v>
      </c>
      <c r="C60" s="22"/>
      <c r="D60" s="22"/>
      <c r="E60" s="23"/>
      <c r="F60" s="22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5"/>
    </row>
    <row r="61" spans="1:20" ht="13.95" customHeight="1" x14ac:dyDescent="0.25">
      <c r="A61" s="20" t="s">
        <v>109</v>
      </c>
      <c r="B61" s="21" t="s">
        <v>110</v>
      </c>
      <c r="C61" s="22">
        <v>1</v>
      </c>
      <c r="D61" s="22">
        <v>11</v>
      </c>
      <c r="E61" s="23">
        <v>6294</v>
      </c>
      <c r="F61" s="22">
        <f>E61*0.25</f>
        <v>1573.5</v>
      </c>
      <c r="G61" s="23">
        <f t="shared" ref="G61:G119" si="20">E61+F61</f>
        <v>7867.5</v>
      </c>
      <c r="H61" s="23"/>
      <c r="I61" s="23"/>
      <c r="J61" s="23"/>
      <c r="K61" s="23">
        <f>G61*0.3</f>
        <v>2360.25</v>
      </c>
      <c r="L61" s="41">
        <f>20000-G61-K61</f>
        <v>9772.25</v>
      </c>
      <c r="M61" s="23"/>
      <c r="N61" s="23"/>
      <c r="O61" s="23"/>
      <c r="P61" s="23"/>
      <c r="Q61" s="23"/>
      <c r="R61" s="23">
        <f t="shared" ref="R61:R73" si="21">G61+K61+L61</f>
        <v>20000</v>
      </c>
      <c r="S61" s="25">
        <f>R61*12</f>
        <v>240000</v>
      </c>
    </row>
    <row r="62" spans="1:20" x14ac:dyDescent="0.25">
      <c r="A62" s="20" t="s">
        <v>111</v>
      </c>
      <c r="B62" s="21" t="s">
        <v>112</v>
      </c>
      <c r="C62" s="22">
        <v>1.25</v>
      </c>
      <c r="D62" s="22">
        <v>12</v>
      </c>
      <c r="E62" s="23">
        <f>6773*C62</f>
        <v>8466.25</v>
      </c>
      <c r="F62" s="22"/>
      <c r="G62" s="23">
        <f t="shared" si="20"/>
        <v>8466.25</v>
      </c>
      <c r="H62" s="23"/>
      <c r="I62" s="23"/>
      <c r="J62" s="23"/>
      <c r="K62" s="23">
        <f t="shared" ref="K62:K75" si="22">G62*0.3</f>
        <v>2539.875</v>
      </c>
      <c r="L62" s="23">
        <f>20000*C62-G62-K62</f>
        <v>13993.875</v>
      </c>
      <c r="M62" s="23"/>
      <c r="N62" s="23"/>
      <c r="O62" s="23"/>
      <c r="P62" s="23"/>
      <c r="Q62" s="23"/>
      <c r="R62" s="23">
        <f t="shared" si="21"/>
        <v>25000</v>
      </c>
      <c r="S62" s="25">
        <f t="shared" ref="S62:S78" si="23">R62*12</f>
        <v>300000</v>
      </c>
    </row>
    <row r="63" spans="1:20" x14ac:dyDescent="0.25">
      <c r="A63" s="20" t="s">
        <v>113</v>
      </c>
      <c r="B63" s="21" t="s">
        <v>114</v>
      </c>
      <c r="C63" s="22">
        <v>1</v>
      </c>
      <c r="D63" s="22">
        <v>14</v>
      </c>
      <c r="E63" s="23">
        <v>7732</v>
      </c>
      <c r="F63" s="22"/>
      <c r="G63" s="23">
        <f t="shared" si="20"/>
        <v>7732</v>
      </c>
      <c r="H63" s="23"/>
      <c r="I63" s="23"/>
      <c r="J63" s="23"/>
      <c r="K63" s="23">
        <f t="shared" si="22"/>
        <v>2319.6</v>
      </c>
      <c r="L63" s="41">
        <f>20000-G63-K63</f>
        <v>9948.4</v>
      </c>
      <c r="M63" s="23"/>
      <c r="N63" s="23"/>
      <c r="O63" s="23"/>
      <c r="P63" s="23"/>
      <c r="Q63" s="23"/>
      <c r="R63" s="23">
        <f t="shared" si="21"/>
        <v>20000</v>
      </c>
      <c r="S63" s="25">
        <f t="shared" si="23"/>
        <v>240000</v>
      </c>
    </row>
    <row r="64" spans="1:20" x14ac:dyDescent="0.25">
      <c r="A64" s="20" t="s">
        <v>115</v>
      </c>
      <c r="B64" s="21" t="s">
        <v>116</v>
      </c>
      <c r="C64" s="22">
        <v>0.5</v>
      </c>
      <c r="D64" s="22">
        <v>14</v>
      </c>
      <c r="E64" s="23">
        <v>3868</v>
      </c>
      <c r="F64" s="22"/>
      <c r="G64" s="23">
        <f t="shared" si="20"/>
        <v>3868</v>
      </c>
      <c r="H64" s="23"/>
      <c r="I64" s="23"/>
      <c r="J64" s="23"/>
      <c r="K64" s="23">
        <f t="shared" si="22"/>
        <v>1160.3999999999999</v>
      </c>
      <c r="L64" s="41">
        <f>20000/2-G64-K64</f>
        <v>4971.6000000000004</v>
      </c>
      <c r="M64" s="23"/>
      <c r="N64" s="23"/>
      <c r="O64" s="23"/>
      <c r="P64" s="23"/>
      <c r="Q64" s="23"/>
      <c r="R64" s="23">
        <f t="shared" si="21"/>
        <v>10000</v>
      </c>
      <c r="S64" s="25">
        <f t="shared" si="23"/>
        <v>120000</v>
      </c>
    </row>
    <row r="65" spans="1:20" x14ac:dyDescent="0.25">
      <c r="A65" s="20" t="s">
        <v>117</v>
      </c>
      <c r="B65" s="21" t="s">
        <v>118</v>
      </c>
      <c r="C65" s="22">
        <v>0.25</v>
      </c>
      <c r="D65" s="22">
        <v>14</v>
      </c>
      <c r="E65" s="23">
        <f>7732*C65</f>
        <v>1933</v>
      </c>
      <c r="F65" s="22"/>
      <c r="G65" s="23">
        <f t="shared" si="20"/>
        <v>1933</v>
      </c>
      <c r="H65" s="23"/>
      <c r="I65" s="23"/>
      <c r="J65" s="23"/>
      <c r="K65" s="23">
        <f t="shared" si="22"/>
        <v>579.9</v>
      </c>
      <c r="L65" s="41">
        <f>20000*C65-G65-K65</f>
        <v>2487.1</v>
      </c>
      <c r="M65" s="23"/>
      <c r="N65" s="23"/>
      <c r="O65" s="23"/>
      <c r="P65" s="23"/>
      <c r="Q65" s="23"/>
      <c r="R65" s="23">
        <f t="shared" si="21"/>
        <v>5000</v>
      </c>
      <c r="S65" s="25">
        <f t="shared" si="23"/>
        <v>60000</v>
      </c>
    </row>
    <row r="66" spans="1:20" x14ac:dyDescent="0.25">
      <c r="A66" s="20" t="s">
        <v>119</v>
      </c>
      <c r="B66" s="21" t="s">
        <v>120</v>
      </c>
      <c r="C66" s="22">
        <v>2.75</v>
      </c>
      <c r="D66" s="22">
        <v>13</v>
      </c>
      <c r="E66" s="23">
        <f>7253*C66</f>
        <v>19945.75</v>
      </c>
      <c r="F66" s="22"/>
      <c r="G66" s="23">
        <f t="shared" si="20"/>
        <v>19945.75</v>
      </c>
      <c r="H66" s="23"/>
      <c r="I66" s="23"/>
      <c r="J66" s="23"/>
      <c r="K66" s="23">
        <f t="shared" si="22"/>
        <v>5983.7249999999995</v>
      </c>
      <c r="L66" s="41">
        <f t="shared" ref="L66:L71" si="24">20000*C66-G66-K66-N66</f>
        <v>26652.835000000003</v>
      </c>
      <c r="M66" s="23"/>
      <c r="N66" s="23">
        <f>879.16*C66</f>
        <v>2417.69</v>
      </c>
      <c r="O66" s="23"/>
      <c r="P66" s="23"/>
      <c r="Q66" s="23"/>
      <c r="R66" s="23">
        <f t="shared" ref="R66:R71" si="25">G66+K66+L66+N66</f>
        <v>55000</v>
      </c>
      <c r="S66" s="25">
        <f t="shared" si="23"/>
        <v>660000</v>
      </c>
    </row>
    <row r="67" spans="1:20" x14ac:dyDescent="0.25">
      <c r="A67" s="20" t="s">
        <v>119</v>
      </c>
      <c r="B67" s="21" t="s">
        <v>121</v>
      </c>
      <c r="C67" s="22">
        <v>0.5</v>
      </c>
      <c r="D67" s="22">
        <v>14</v>
      </c>
      <c r="E67" s="23">
        <f>7732*C67</f>
        <v>3866</v>
      </c>
      <c r="F67" s="22"/>
      <c r="G67" s="23">
        <f t="shared" si="20"/>
        <v>3866</v>
      </c>
      <c r="H67" s="23"/>
      <c r="I67" s="23"/>
      <c r="J67" s="23"/>
      <c r="K67" s="23">
        <f t="shared" si="22"/>
        <v>1159.8</v>
      </c>
      <c r="L67" s="41">
        <f t="shared" si="24"/>
        <v>4505.5999999999995</v>
      </c>
      <c r="M67" s="23"/>
      <c r="N67" s="23">
        <v>468.6</v>
      </c>
      <c r="O67" s="23"/>
      <c r="P67" s="23"/>
      <c r="Q67" s="23"/>
      <c r="R67" s="23">
        <f t="shared" si="25"/>
        <v>10000</v>
      </c>
      <c r="S67" s="25">
        <f t="shared" si="23"/>
        <v>120000</v>
      </c>
    </row>
    <row r="68" spans="1:20" x14ac:dyDescent="0.25">
      <c r="A68" s="20" t="s">
        <v>119</v>
      </c>
      <c r="B68" s="21" t="s">
        <v>122</v>
      </c>
      <c r="C68" s="22">
        <v>0.25</v>
      </c>
      <c r="D68" s="22">
        <v>14</v>
      </c>
      <c r="E68" s="23">
        <f>7732*C68</f>
        <v>1933</v>
      </c>
      <c r="F68" s="22"/>
      <c r="G68" s="23">
        <f t="shared" si="20"/>
        <v>1933</v>
      </c>
      <c r="H68" s="23"/>
      <c r="I68" s="23"/>
      <c r="J68" s="23"/>
      <c r="K68" s="23">
        <f t="shared" si="22"/>
        <v>579.9</v>
      </c>
      <c r="L68" s="41">
        <f t="shared" si="24"/>
        <v>2252.7999999999997</v>
      </c>
      <c r="M68" s="23"/>
      <c r="N68" s="23">
        <v>234.3</v>
      </c>
      <c r="O68" s="23"/>
      <c r="P68" s="23"/>
      <c r="Q68" s="23"/>
      <c r="R68" s="23">
        <f t="shared" si="25"/>
        <v>5000</v>
      </c>
      <c r="S68" s="25">
        <f t="shared" si="23"/>
        <v>60000</v>
      </c>
    </row>
    <row r="69" spans="1:20" x14ac:dyDescent="0.25">
      <c r="A69" s="20" t="s">
        <v>119</v>
      </c>
      <c r="B69" s="21" t="s">
        <v>123</v>
      </c>
      <c r="C69" s="22">
        <v>0.25</v>
      </c>
      <c r="D69" s="22">
        <v>14</v>
      </c>
      <c r="E69" s="23">
        <f>7732*C69</f>
        <v>1933</v>
      </c>
      <c r="F69" s="22"/>
      <c r="G69" s="23">
        <f t="shared" si="20"/>
        <v>1933</v>
      </c>
      <c r="H69" s="23"/>
      <c r="I69" s="23"/>
      <c r="J69" s="23"/>
      <c r="K69" s="23">
        <f t="shared" si="22"/>
        <v>579.9</v>
      </c>
      <c r="L69" s="41">
        <f t="shared" si="24"/>
        <v>2252.7999999999997</v>
      </c>
      <c r="M69" s="23"/>
      <c r="N69" s="23">
        <v>234.3</v>
      </c>
      <c r="O69" s="23"/>
      <c r="P69" s="23"/>
      <c r="Q69" s="23"/>
      <c r="R69" s="23">
        <f t="shared" si="25"/>
        <v>5000</v>
      </c>
      <c r="S69" s="25">
        <f t="shared" si="23"/>
        <v>60000</v>
      </c>
    </row>
    <row r="70" spans="1:20" x14ac:dyDescent="0.25">
      <c r="A70" s="20" t="s">
        <v>119</v>
      </c>
      <c r="B70" s="21" t="s">
        <v>124</v>
      </c>
      <c r="C70" s="22">
        <v>1</v>
      </c>
      <c r="D70" s="22">
        <v>14</v>
      </c>
      <c r="E70" s="23">
        <f>7732*C70</f>
        <v>7732</v>
      </c>
      <c r="F70" s="22"/>
      <c r="G70" s="23">
        <f t="shared" si="20"/>
        <v>7732</v>
      </c>
      <c r="H70" s="23"/>
      <c r="I70" s="23"/>
      <c r="J70" s="23"/>
      <c r="K70" s="23">
        <f t="shared" si="22"/>
        <v>2319.6</v>
      </c>
      <c r="L70" s="41">
        <f t="shared" si="24"/>
        <v>9011.1999999999989</v>
      </c>
      <c r="M70" s="23"/>
      <c r="N70" s="23">
        <v>937.2</v>
      </c>
      <c r="O70" s="23"/>
      <c r="P70" s="23"/>
      <c r="Q70" s="23"/>
      <c r="R70" s="23">
        <f t="shared" si="25"/>
        <v>20000</v>
      </c>
      <c r="S70" s="25">
        <f t="shared" si="23"/>
        <v>240000</v>
      </c>
    </row>
    <row r="71" spans="1:20" x14ac:dyDescent="0.25">
      <c r="A71" s="20" t="s">
        <v>119</v>
      </c>
      <c r="B71" s="21" t="s">
        <v>125</v>
      </c>
      <c r="C71" s="22">
        <v>0.5</v>
      </c>
      <c r="D71" s="22">
        <v>13</v>
      </c>
      <c r="E71" s="23">
        <f>7253*C71</f>
        <v>3626.5</v>
      </c>
      <c r="F71" s="22"/>
      <c r="G71" s="23">
        <f t="shared" si="20"/>
        <v>3626.5</v>
      </c>
      <c r="H71" s="23"/>
      <c r="I71" s="23"/>
      <c r="J71" s="23"/>
      <c r="K71" s="23">
        <f t="shared" si="22"/>
        <v>1087.95</v>
      </c>
      <c r="L71" s="41">
        <f t="shared" si="24"/>
        <v>4845.97</v>
      </c>
      <c r="M71" s="23"/>
      <c r="N71" s="23">
        <f>879.16*C71</f>
        <v>439.58</v>
      </c>
      <c r="O71" s="23"/>
      <c r="P71" s="23"/>
      <c r="Q71" s="23"/>
      <c r="R71" s="23">
        <f t="shared" si="25"/>
        <v>10000</v>
      </c>
      <c r="S71" s="25">
        <f t="shared" si="23"/>
        <v>120000</v>
      </c>
    </row>
    <row r="72" spans="1:20" s="13" customFormat="1" x14ac:dyDescent="0.25">
      <c r="A72" s="20" t="s">
        <v>119</v>
      </c>
      <c r="B72" s="21" t="s">
        <v>126</v>
      </c>
      <c r="C72" s="22">
        <v>0.25</v>
      </c>
      <c r="D72" s="22">
        <v>14</v>
      </c>
      <c r="E72" s="23">
        <f>7732*C72</f>
        <v>1933</v>
      </c>
      <c r="F72" s="22"/>
      <c r="G72" s="23">
        <f>E72+F72</f>
        <v>1933</v>
      </c>
      <c r="H72" s="23"/>
      <c r="I72" s="23"/>
      <c r="J72" s="23"/>
      <c r="K72" s="23">
        <f t="shared" si="22"/>
        <v>579.9</v>
      </c>
      <c r="L72" s="23">
        <f>20000*C72-G72-K72</f>
        <v>2487.1</v>
      </c>
      <c r="M72" s="23"/>
      <c r="N72" s="23">
        <v>234.3</v>
      </c>
      <c r="O72" s="23"/>
      <c r="P72" s="23"/>
      <c r="Q72" s="23"/>
      <c r="R72" s="23">
        <f>G72+K72+L72</f>
        <v>5000</v>
      </c>
      <c r="S72" s="25">
        <f t="shared" si="23"/>
        <v>60000</v>
      </c>
      <c r="T72" s="52"/>
    </row>
    <row r="73" spans="1:20" x14ac:dyDescent="0.25">
      <c r="A73" s="20" t="s">
        <v>127</v>
      </c>
      <c r="B73" s="21" t="s">
        <v>128</v>
      </c>
      <c r="C73" s="22">
        <v>1</v>
      </c>
      <c r="D73" s="22">
        <v>9</v>
      </c>
      <c r="E73" s="23">
        <v>5527</v>
      </c>
      <c r="F73" s="22">
        <f>E73*0.1</f>
        <v>552.70000000000005</v>
      </c>
      <c r="G73" s="23">
        <f t="shared" si="20"/>
        <v>6079.7</v>
      </c>
      <c r="H73" s="23"/>
      <c r="I73" s="23"/>
      <c r="J73" s="23"/>
      <c r="K73" s="23">
        <f t="shared" si="22"/>
        <v>1823.9099999999999</v>
      </c>
      <c r="L73" s="41">
        <v>5596.39</v>
      </c>
      <c r="M73" s="23"/>
      <c r="N73" s="23"/>
      <c r="O73" s="23"/>
      <c r="P73" s="23"/>
      <c r="Q73" s="23"/>
      <c r="R73" s="23">
        <f t="shared" si="21"/>
        <v>13500</v>
      </c>
      <c r="S73" s="25">
        <f t="shared" si="23"/>
        <v>162000</v>
      </c>
    </row>
    <row r="74" spans="1:20" x14ac:dyDescent="0.25">
      <c r="A74" s="20" t="s">
        <v>129</v>
      </c>
      <c r="B74" s="21" t="s">
        <v>130</v>
      </c>
      <c r="C74" s="22">
        <v>10</v>
      </c>
      <c r="D74" s="22">
        <v>9</v>
      </c>
      <c r="E74" s="23">
        <f>5527*C74</f>
        <v>55270</v>
      </c>
      <c r="F74" s="22"/>
      <c r="G74" s="23">
        <f t="shared" si="20"/>
        <v>55270</v>
      </c>
      <c r="H74" s="23"/>
      <c r="I74" s="23">
        <f t="shared" ref="I74:I76" si="26">G74*0.1</f>
        <v>5527</v>
      </c>
      <c r="J74" s="23"/>
      <c r="K74" s="23">
        <f t="shared" si="22"/>
        <v>16581</v>
      </c>
      <c r="L74" s="41">
        <f>13500*C74-G74-I74-K74-N74</f>
        <v>50922.6</v>
      </c>
      <c r="M74" s="23"/>
      <c r="N74" s="23">
        <f>669.94*C74</f>
        <v>6699.4000000000005</v>
      </c>
      <c r="O74" s="23"/>
      <c r="P74" s="23"/>
      <c r="Q74" s="23"/>
      <c r="R74" s="23">
        <f>G74+I74+K74+L74+N74</f>
        <v>135000</v>
      </c>
      <c r="S74" s="25">
        <f t="shared" si="23"/>
        <v>1620000</v>
      </c>
    </row>
    <row r="75" spans="1:20" x14ac:dyDescent="0.25">
      <c r="A75" s="20" t="s">
        <v>131</v>
      </c>
      <c r="B75" s="21" t="s">
        <v>132</v>
      </c>
      <c r="C75" s="22">
        <v>1</v>
      </c>
      <c r="D75" s="22">
        <v>6</v>
      </c>
      <c r="E75" s="23">
        <v>4633</v>
      </c>
      <c r="F75" s="22"/>
      <c r="G75" s="23">
        <f t="shared" si="20"/>
        <v>4633</v>
      </c>
      <c r="H75" s="23"/>
      <c r="I75" s="23">
        <f t="shared" si="26"/>
        <v>463.3</v>
      </c>
      <c r="J75" s="23"/>
      <c r="K75" s="23">
        <f t="shared" si="22"/>
        <v>1389.8999999999999</v>
      </c>
      <c r="L75" s="41">
        <f t="shared" ref="L75" si="27">13500-G75-I75-K75</f>
        <v>7013.8000000000011</v>
      </c>
      <c r="M75" s="23"/>
      <c r="N75" s="23"/>
      <c r="O75" s="23"/>
      <c r="P75" s="23"/>
      <c r="Q75" s="23"/>
      <c r="R75" s="23">
        <f t="shared" ref="R75" si="28">G75+I75+K75+L75</f>
        <v>13500</v>
      </c>
      <c r="S75" s="25">
        <f t="shared" si="23"/>
        <v>162000</v>
      </c>
    </row>
    <row r="76" spans="1:20" x14ac:dyDescent="0.25">
      <c r="A76" s="20" t="s">
        <v>133</v>
      </c>
      <c r="B76" s="21" t="s">
        <v>134</v>
      </c>
      <c r="C76" s="22">
        <v>6</v>
      </c>
      <c r="D76" s="22">
        <v>4</v>
      </c>
      <c r="E76" s="23">
        <f>4058*C76</f>
        <v>24348</v>
      </c>
      <c r="F76" s="22"/>
      <c r="G76" s="23">
        <f t="shared" si="20"/>
        <v>24348</v>
      </c>
      <c r="H76" s="23"/>
      <c r="I76" s="23">
        <f t="shared" si="26"/>
        <v>2434.8000000000002</v>
      </c>
      <c r="J76" s="23"/>
      <c r="K76" s="23"/>
      <c r="L76" s="23"/>
      <c r="M76" s="23"/>
      <c r="N76" s="23">
        <f>475.33*C76</f>
        <v>2851.98</v>
      </c>
      <c r="O76" s="23"/>
      <c r="P76" s="23">
        <f>8000*C76-G76</f>
        <v>23652</v>
      </c>
      <c r="Q76" s="23"/>
      <c r="R76" s="23">
        <f>E76+I76+P76+N76</f>
        <v>53286.780000000006</v>
      </c>
      <c r="S76" s="25">
        <f t="shared" si="23"/>
        <v>639441.3600000001</v>
      </c>
    </row>
    <row r="77" spans="1:20" x14ac:dyDescent="0.25">
      <c r="A77" s="20" t="s">
        <v>135</v>
      </c>
      <c r="B77" s="21" t="s">
        <v>136</v>
      </c>
      <c r="C77" s="22">
        <v>1</v>
      </c>
      <c r="D77" s="22">
        <v>3</v>
      </c>
      <c r="E77" s="23">
        <v>3770</v>
      </c>
      <c r="F77" s="22"/>
      <c r="G77" s="23">
        <f t="shared" si="20"/>
        <v>3770</v>
      </c>
      <c r="H77" s="23"/>
      <c r="I77" s="23"/>
      <c r="J77" s="23"/>
      <c r="K77" s="23"/>
      <c r="L77" s="23"/>
      <c r="M77" s="23"/>
      <c r="N77" s="23"/>
      <c r="O77" s="23"/>
      <c r="P77" s="23">
        <f t="shared" ref="P77:P78" si="29">8000-G77</f>
        <v>4230</v>
      </c>
      <c r="Q77" s="23"/>
      <c r="R77" s="23">
        <f>G77+P77</f>
        <v>8000</v>
      </c>
      <c r="S77" s="25">
        <f t="shared" si="23"/>
        <v>96000</v>
      </c>
      <c r="T77" s="53"/>
    </row>
    <row r="78" spans="1:20" x14ac:dyDescent="0.25">
      <c r="A78" s="20" t="s">
        <v>137</v>
      </c>
      <c r="B78" s="21" t="s">
        <v>138</v>
      </c>
      <c r="C78" s="22">
        <v>1</v>
      </c>
      <c r="D78" s="22">
        <v>4</v>
      </c>
      <c r="E78" s="23">
        <v>4058</v>
      </c>
      <c r="F78" s="22"/>
      <c r="G78" s="23">
        <f t="shared" si="20"/>
        <v>4058</v>
      </c>
      <c r="H78" s="23"/>
      <c r="I78" s="23"/>
      <c r="J78" s="23"/>
      <c r="K78" s="23"/>
      <c r="L78" s="23"/>
      <c r="M78" s="23"/>
      <c r="N78" s="23"/>
      <c r="O78" s="23"/>
      <c r="P78" s="23">
        <f t="shared" si="29"/>
        <v>3942</v>
      </c>
      <c r="Q78" s="23"/>
      <c r="R78" s="23">
        <f>G78+P78</f>
        <v>8000</v>
      </c>
      <c r="S78" s="25">
        <f t="shared" si="23"/>
        <v>96000</v>
      </c>
      <c r="T78" s="53"/>
    </row>
    <row r="79" spans="1:20" s="27" customFormat="1" ht="24.6" customHeight="1" thickBot="1" x14ac:dyDescent="0.3">
      <c r="A79" s="64"/>
      <c r="B79" s="47" t="s">
        <v>59</v>
      </c>
      <c r="C79" s="34">
        <f>SUM(C61:C78)</f>
        <v>29.5</v>
      </c>
      <c r="D79" s="34"/>
      <c r="E79" s="35">
        <f>SUM(E61:E78)</f>
        <v>166868.5</v>
      </c>
      <c r="F79" s="34">
        <f>SUM(F61:F78)</f>
        <v>2126.1999999999998</v>
      </c>
      <c r="G79" s="35">
        <f>SUM(G61:G78)</f>
        <v>168994.7</v>
      </c>
      <c r="H79" s="35"/>
      <c r="I79" s="35">
        <f>SUM(I61:I78)</f>
        <v>8425.1</v>
      </c>
      <c r="J79" s="35"/>
      <c r="K79" s="35">
        <f>SUM(K61:K78)</f>
        <v>41045.610000000008</v>
      </c>
      <c r="L79" s="35">
        <f>SUM(L61:L78)</f>
        <v>156714.32</v>
      </c>
      <c r="M79" s="35"/>
      <c r="N79" s="35">
        <f>SUM(N66:N78)</f>
        <v>14517.35</v>
      </c>
      <c r="O79" s="35"/>
      <c r="P79" s="35">
        <f>SUM(P61:P78)</f>
        <v>31824</v>
      </c>
      <c r="Q79" s="35"/>
      <c r="R79" s="35">
        <f>SUM(R61:R78)</f>
        <v>421286.78</v>
      </c>
      <c r="S79" s="36">
        <f>SUM(S61:S78)</f>
        <v>5055441.3600000003</v>
      </c>
      <c r="T79" s="54"/>
    </row>
    <row r="80" spans="1:20" s="13" customFormat="1" ht="27.6" customHeight="1" x14ac:dyDescent="0.2">
      <c r="A80" s="18"/>
      <c r="B80" s="55" t="s">
        <v>139</v>
      </c>
      <c r="C80" s="85"/>
      <c r="D80" s="85"/>
      <c r="E80" s="94"/>
      <c r="F80" s="85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110"/>
      <c r="T80" s="52"/>
    </row>
    <row r="81" spans="1:20" s="13" customFormat="1" x14ac:dyDescent="0.25">
      <c r="A81" s="20" t="s">
        <v>140</v>
      </c>
      <c r="B81" s="21" t="s">
        <v>100</v>
      </c>
      <c r="C81" s="22">
        <v>1</v>
      </c>
      <c r="D81" s="22">
        <v>12</v>
      </c>
      <c r="E81" s="23">
        <v>6773</v>
      </c>
      <c r="F81" s="22">
        <f>E81*0.25</f>
        <v>1693.25</v>
      </c>
      <c r="G81" s="23">
        <f t="shared" ref="G81:G107" si="30">E81+F81</f>
        <v>8466.25</v>
      </c>
      <c r="H81" s="23"/>
      <c r="I81" s="23"/>
      <c r="J81" s="23"/>
      <c r="K81" s="23">
        <f>G81*0.3</f>
        <v>2539.875</v>
      </c>
      <c r="L81" s="23">
        <f t="shared" ref="L81" si="31">20000-G81-K81</f>
        <v>8993.875</v>
      </c>
      <c r="M81" s="23"/>
      <c r="N81" s="23"/>
      <c r="O81" s="23"/>
      <c r="P81" s="23"/>
      <c r="Q81" s="23"/>
      <c r="R81" s="23">
        <f t="shared" ref="R81:R83" si="32">G81+K81+L81</f>
        <v>20000</v>
      </c>
      <c r="S81" s="25">
        <f>R81*12</f>
        <v>240000</v>
      </c>
      <c r="T81" s="52"/>
    </row>
    <row r="82" spans="1:20" s="13" customFormat="1" x14ac:dyDescent="0.25">
      <c r="A82" s="20" t="s">
        <v>141</v>
      </c>
      <c r="B82" s="21" t="s">
        <v>142</v>
      </c>
      <c r="C82" s="22">
        <v>1.5</v>
      </c>
      <c r="D82" s="22">
        <v>14</v>
      </c>
      <c r="E82" s="23">
        <v>11598</v>
      </c>
      <c r="F82" s="22"/>
      <c r="G82" s="23">
        <f t="shared" si="30"/>
        <v>11598</v>
      </c>
      <c r="H82" s="23"/>
      <c r="I82" s="23"/>
      <c r="J82" s="23"/>
      <c r="K82" s="23">
        <f t="shared" ref="K82:K105" si="33">G82*0.3</f>
        <v>3479.4</v>
      </c>
      <c r="L82" s="23">
        <f>30000-G82-K82</f>
        <v>14922.6</v>
      </c>
      <c r="M82" s="23"/>
      <c r="N82" s="23"/>
      <c r="O82" s="23"/>
      <c r="P82" s="23"/>
      <c r="Q82" s="23"/>
      <c r="R82" s="23">
        <f t="shared" si="32"/>
        <v>30000</v>
      </c>
      <c r="S82" s="25">
        <f t="shared" ref="S82:S107" si="34">R82*12</f>
        <v>360000</v>
      </c>
      <c r="T82" s="52"/>
    </row>
    <row r="83" spans="1:20" s="13" customFormat="1" x14ac:dyDescent="0.25">
      <c r="A83" s="20" t="s">
        <v>143</v>
      </c>
      <c r="B83" s="21" t="s">
        <v>144</v>
      </c>
      <c r="C83" s="22">
        <v>1</v>
      </c>
      <c r="D83" s="22">
        <v>12</v>
      </c>
      <c r="E83" s="23">
        <v>6773</v>
      </c>
      <c r="F83" s="23">
        <f>E83*0.15</f>
        <v>1015.9499999999999</v>
      </c>
      <c r="G83" s="23">
        <f t="shared" si="30"/>
        <v>7788.95</v>
      </c>
      <c r="H83" s="23"/>
      <c r="I83" s="23"/>
      <c r="J83" s="23"/>
      <c r="K83" s="23">
        <f t="shared" si="33"/>
        <v>2336.6849999999999</v>
      </c>
      <c r="L83" s="23">
        <f t="shared" ref="L83" si="35">20000-G83-K83</f>
        <v>9874.3649999999998</v>
      </c>
      <c r="M83" s="23"/>
      <c r="N83" s="23"/>
      <c r="O83" s="23"/>
      <c r="P83" s="23"/>
      <c r="Q83" s="23"/>
      <c r="R83" s="23">
        <f t="shared" si="32"/>
        <v>20000</v>
      </c>
      <c r="S83" s="25">
        <f t="shared" si="34"/>
        <v>240000</v>
      </c>
      <c r="T83" s="52"/>
    </row>
    <row r="84" spans="1:20" s="13" customFormat="1" x14ac:dyDescent="0.25">
      <c r="A84" s="20" t="s">
        <v>145</v>
      </c>
      <c r="B84" s="21" t="s">
        <v>146</v>
      </c>
      <c r="C84" s="22">
        <v>1</v>
      </c>
      <c r="D84" s="22">
        <v>11</v>
      </c>
      <c r="E84" s="23">
        <v>6294</v>
      </c>
      <c r="F84" s="22"/>
      <c r="G84" s="23">
        <f t="shared" si="30"/>
        <v>6294</v>
      </c>
      <c r="H84" s="23"/>
      <c r="I84" s="23"/>
      <c r="J84" s="23"/>
      <c r="K84" s="23">
        <f t="shared" si="33"/>
        <v>1888.1999999999998</v>
      </c>
      <c r="L84" s="23">
        <f>20000-G84-K84</f>
        <v>11817.8</v>
      </c>
      <c r="M84" s="23"/>
      <c r="N84" s="23"/>
      <c r="O84" s="23"/>
      <c r="P84" s="23"/>
      <c r="Q84" s="23"/>
      <c r="R84" s="23">
        <f>G84+K84+L84</f>
        <v>20000</v>
      </c>
      <c r="S84" s="25">
        <f t="shared" si="34"/>
        <v>240000</v>
      </c>
      <c r="T84" s="52"/>
    </row>
    <row r="85" spans="1:20" s="13" customFormat="1" x14ac:dyDescent="0.25">
      <c r="A85" s="20" t="s">
        <v>147</v>
      </c>
      <c r="B85" s="21" t="s">
        <v>148</v>
      </c>
      <c r="C85" s="22">
        <v>1</v>
      </c>
      <c r="D85" s="22">
        <v>11</v>
      </c>
      <c r="E85" s="23">
        <v>6294</v>
      </c>
      <c r="F85" s="22"/>
      <c r="G85" s="23">
        <f t="shared" si="30"/>
        <v>6294</v>
      </c>
      <c r="H85" s="23"/>
      <c r="I85" s="23"/>
      <c r="J85" s="23"/>
      <c r="K85" s="23">
        <f t="shared" si="33"/>
        <v>1888.1999999999998</v>
      </c>
      <c r="L85" s="23">
        <f t="shared" ref="L85" si="36">20000-G85-K85</f>
        <v>11817.8</v>
      </c>
      <c r="M85" s="23"/>
      <c r="N85" s="23"/>
      <c r="O85" s="23"/>
      <c r="P85" s="23"/>
      <c r="Q85" s="23"/>
      <c r="R85" s="23">
        <f t="shared" ref="R85:R99" si="37">G85+K85+L85</f>
        <v>20000</v>
      </c>
      <c r="S85" s="25">
        <f t="shared" si="34"/>
        <v>240000</v>
      </c>
      <c r="T85" s="52"/>
    </row>
    <row r="86" spans="1:20" s="13" customFormat="1" x14ac:dyDescent="0.25">
      <c r="A86" s="20" t="s">
        <v>149</v>
      </c>
      <c r="B86" s="21" t="s">
        <v>150</v>
      </c>
      <c r="C86" s="22">
        <v>0.5</v>
      </c>
      <c r="D86" s="22">
        <v>14</v>
      </c>
      <c r="E86" s="23">
        <f>7732*C86</f>
        <v>3866</v>
      </c>
      <c r="F86" s="22"/>
      <c r="G86" s="23">
        <f t="shared" si="30"/>
        <v>3866</v>
      </c>
      <c r="H86" s="23"/>
      <c r="I86" s="23"/>
      <c r="J86" s="23"/>
      <c r="K86" s="23">
        <f t="shared" si="33"/>
        <v>1159.8</v>
      </c>
      <c r="L86" s="23">
        <f>20000*C86-G86-K86</f>
        <v>4974.2</v>
      </c>
      <c r="M86" s="23"/>
      <c r="N86" s="23"/>
      <c r="O86" s="23"/>
      <c r="P86" s="23"/>
      <c r="Q86" s="23"/>
      <c r="R86" s="23">
        <f t="shared" si="37"/>
        <v>10000</v>
      </c>
      <c r="S86" s="25">
        <f t="shared" si="34"/>
        <v>120000</v>
      </c>
      <c r="T86" s="52"/>
    </row>
    <row r="87" spans="1:20" s="13" customFormat="1" x14ac:dyDescent="0.25">
      <c r="A87" s="20" t="s">
        <v>151</v>
      </c>
      <c r="B87" s="21" t="s">
        <v>104</v>
      </c>
      <c r="C87" s="22">
        <v>0.5</v>
      </c>
      <c r="D87" s="22">
        <v>11</v>
      </c>
      <c r="E87" s="23">
        <v>3147</v>
      </c>
      <c r="F87" s="23">
        <f>E87*0.15</f>
        <v>472.04999999999995</v>
      </c>
      <c r="G87" s="23">
        <f t="shared" si="30"/>
        <v>3619.05</v>
      </c>
      <c r="H87" s="23"/>
      <c r="I87" s="23"/>
      <c r="J87" s="23"/>
      <c r="K87" s="23">
        <f t="shared" si="33"/>
        <v>1085.7149999999999</v>
      </c>
      <c r="L87" s="23">
        <f>20000/2-G87-K87</f>
        <v>5295.2349999999997</v>
      </c>
      <c r="M87" s="23"/>
      <c r="N87" s="23"/>
      <c r="O87" s="23"/>
      <c r="P87" s="23"/>
      <c r="Q87" s="23"/>
      <c r="R87" s="23">
        <f t="shared" si="37"/>
        <v>10000</v>
      </c>
      <c r="S87" s="25">
        <f t="shared" si="34"/>
        <v>120000</v>
      </c>
      <c r="T87" s="52"/>
    </row>
    <row r="88" spans="1:20" s="13" customFormat="1" x14ac:dyDescent="0.25">
      <c r="A88" s="20" t="s">
        <v>152</v>
      </c>
      <c r="B88" s="21" t="s">
        <v>153</v>
      </c>
      <c r="C88" s="22">
        <v>2</v>
      </c>
      <c r="D88" s="22">
        <v>14</v>
      </c>
      <c r="E88" s="23">
        <f>7732*C88</f>
        <v>15464</v>
      </c>
      <c r="F88" s="23">
        <f>E88*0.15</f>
        <v>2319.6</v>
      </c>
      <c r="G88" s="23">
        <f t="shared" si="30"/>
        <v>17783.599999999999</v>
      </c>
      <c r="H88" s="23"/>
      <c r="I88" s="23"/>
      <c r="J88" s="23"/>
      <c r="K88" s="23">
        <f t="shared" si="33"/>
        <v>5335.079999999999</v>
      </c>
      <c r="L88" s="23">
        <f>20000*C88-G88-K88</f>
        <v>16881.320000000003</v>
      </c>
      <c r="M88" s="23"/>
      <c r="N88" s="23"/>
      <c r="O88" s="23"/>
      <c r="P88" s="23"/>
      <c r="Q88" s="23"/>
      <c r="R88" s="23">
        <f t="shared" si="37"/>
        <v>40000</v>
      </c>
      <c r="S88" s="25">
        <f t="shared" si="34"/>
        <v>480000</v>
      </c>
      <c r="T88" s="52"/>
    </row>
    <row r="89" spans="1:20" s="13" customFormat="1" x14ac:dyDescent="0.25">
      <c r="A89" s="20" t="s">
        <v>154</v>
      </c>
      <c r="B89" s="21" t="s">
        <v>155</v>
      </c>
      <c r="C89" s="22">
        <v>1</v>
      </c>
      <c r="D89" s="22">
        <v>13</v>
      </c>
      <c r="E89" s="23">
        <v>7253</v>
      </c>
      <c r="F89" s="22"/>
      <c r="G89" s="23">
        <f t="shared" si="30"/>
        <v>7253</v>
      </c>
      <c r="H89" s="23"/>
      <c r="I89" s="23"/>
      <c r="J89" s="23"/>
      <c r="K89" s="23">
        <f t="shared" si="33"/>
        <v>2175.9</v>
      </c>
      <c r="L89" s="23">
        <f>20000-G89-K89</f>
        <v>10571.1</v>
      </c>
      <c r="M89" s="23"/>
      <c r="N89" s="23"/>
      <c r="O89" s="23"/>
      <c r="P89" s="23"/>
      <c r="Q89" s="23"/>
      <c r="R89" s="23">
        <f t="shared" si="37"/>
        <v>20000</v>
      </c>
      <c r="S89" s="25">
        <f t="shared" si="34"/>
        <v>240000</v>
      </c>
      <c r="T89" s="52"/>
    </row>
    <row r="90" spans="1:20" x14ac:dyDescent="0.25">
      <c r="A90" s="20" t="s">
        <v>156</v>
      </c>
      <c r="B90" s="21" t="s">
        <v>157</v>
      </c>
      <c r="C90" s="22">
        <v>1</v>
      </c>
      <c r="D90" s="22">
        <v>14</v>
      </c>
      <c r="E90" s="23">
        <v>7732</v>
      </c>
      <c r="F90" s="23">
        <f>E90*0.15</f>
        <v>1159.8</v>
      </c>
      <c r="G90" s="23">
        <f t="shared" si="30"/>
        <v>8891.7999999999993</v>
      </c>
      <c r="H90" s="23"/>
      <c r="I90" s="23"/>
      <c r="J90" s="23"/>
      <c r="K90" s="23">
        <f t="shared" si="33"/>
        <v>2667.5399999999995</v>
      </c>
      <c r="L90" s="23">
        <f>20000-G90-K90</f>
        <v>8440.6600000000017</v>
      </c>
      <c r="M90" s="23"/>
      <c r="N90" s="23"/>
      <c r="O90" s="23"/>
      <c r="P90" s="23"/>
      <c r="Q90" s="23"/>
      <c r="R90" s="23">
        <f t="shared" si="37"/>
        <v>20000</v>
      </c>
      <c r="S90" s="25">
        <f t="shared" si="34"/>
        <v>240000</v>
      </c>
      <c r="T90" s="53"/>
    </row>
    <row r="91" spans="1:20" s="13" customFormat="1" x14ac:dyDescent="0.25">
      <c r="A91" s="20" t="s">
        <v>119</v>
      </c>
      <c r="B91" s="21" t="s">
        <v>158</v>
      </c>
      <c r="C91" s="22">
        <v>0.25</v>
      </c>
      <c r="D91" s="22">
        <v>14</v>
      </c>
      <c r="E91" s="23">
        <f>7732*C91</f>
        <v>1933</v>
      </c>
      <c r="F91" s="22"/>
      <c r="G91" s="23">
        <f>E91+F91</f>
        <v>1933</v>
      </c>
      <c r="H91" s="23"/>
      <c r="I91" s="23"/>
      <c r="J91" s="23"/>
      <c r="K91" s="23">
        <f t="shared" si="33"/>
        <v>579.9</v>
      </c>
      <c r="L91" s="23">
        <f>20000*C91-G91-K91</f>
        <v>2487.1</v>
      </c>
      <c r="M91" s="23"/>
      <c r="N91" s="23"/>
      <c r="O91" s="23"/>
      <c r="P91" s="23"/>
      <c r="Q91" s="23"/>
      <c r="R91" s="23">
        <f>G91+K91+L91</f>
        <v>5000</v>
      </c>
      <c r="S91" s="25">
        <f t="shared" si="34"/>
        <v>60000</v>
      </c>
      <c r="T91" s="52"/>
    </row>
    <row r="92" spans="1:20" s="13" customFormat="1" x14ac:dyDescent="0.25">
      <c r="A92" s="20" t="s">
        <v>159</v>
      </c>
      <c r="B92" s="21" t="s">
        <v>160</v>
      </c>
      <c r="C92" s="22">
        <v>0.5</v>
      </c>
      <c r="D92" s="22">
        <v>14</v>
      </c>
      <c r="E92" s="23">
        <v>3866</v>
      </c>
      <c r="F92" s="22"/>
      <c r="G92" s="23">
        <f t="shared" si="30"/>
        <v>3866</v>
      </c>
      <c r="H92" s="23"/>
      <c r="I92" s="23"/>
      <c r="J92" s="23"/>
      <c r="K92" s="23">
        <f t="shared" si="33"/>
        <v>1159.8</v>
      </c>
      <c r="L92" s="23">
        <f>20000/2-G92-K92</f>
        <v>4974.2</v>
      </c>
      <c r="M92" s="23"/>
      <c r="N92" s="23"/>
      <c r="O92" s="23"/>
      <c r="P92" s="23"/>
      <c r="Q92" s="23"/>
      <c r="R92" s="23">
        <f t="shared" si="37"/>
        <v>10000</v>
      </c>
      <c r="S92" s="25">
        <f t="shared" si="34"/>
        <v>120000</v>
      </c>
      <c r="T92" s="52"/>
    </row>
    <row r="93" spans="1:20" s="13" customFormat="1" x14ac:dyDescent="0.25">
      <c r="A93" s="20" t="s">
        <v>161</v>
      </c>
      <c r="B93" s="21" t="s">
        <v>162</v>
      </c>
      <c r="C93" s="22">
        <v>0.5</v>
      </c>
      <c r="D93" s="22">
        <v>11</v>
      </c>
      <c r="E93" s="23">
        <v>3147</v>
      </c>
      <c r="F93" s="22"/>
      <c r="G93" s="23">
        <f t="shared" si="30"/>
        <v>3147</v>
      </c>
      <c r="H93" s="23"/>
      <c r="I93" s="23"/>
      <c r="J93" s="23"/>
      <c r="K93" s="23">
        <f t="shared" si="33"/>
        <v>944.09999999999991</v>
      </c>
      <c r="L93" s="23">
        <f>20000/2-G93-K93</f>
        <v>5908.9</v>
      </c>
      <c r="M93" s="23"/>
      <c r="N93" s="23"/>
      <c r="O93" s="23"/>
      <c r="P93" s="23"/>
      <c r="Q93" s="23"/>
      <c r="R93" s="23">
        <f t="shared" si="37"/>
        <v>10000</v>
      </c>
      <c r="S93" s="25">
        <f t="shared" si="34"/>
        <v>120000</v>
      </c>
      <c r="T93" s="52"/>
    </row>
    <row r="94" spans="1:20" s="56" customFormat="1" x14ac:dyDescent="0.25">
      <c r="A94" s="20" t="s">
        <v>163</v>
      </c>
      <c r="B94" s="21" t="s">
        <v>164</v>
      </c>
      <c r="C94" s="22">
        <v>0.5</v>
      </c>
      <c r="D94" s="22">
        <v>14</v>
      </c>
      <c r="E94" s="23">
        <v>3866</v>
      </c>
      <c r="F94" s="22"/>
      <c r="G94" s="23">
        <f t="shared" si="30"/>
        <v>3866</v>
      </c>
      <c r="H94" s="23"/>
      <c r="I94" s="23"/>
      <c r="J94" s="23"/>
      <c r="K94" s="23">
        <f t="shared" si="33"/>
        <v>1159.8</v>
      </c>
      <c r="L94" s="23">
        <f>20000/2-G94-K94</f>
        <v>4974.2</v>
      </c>
      <c r="M94" s="23"/>
      <c r="N94" s="23"/>
      <c r="O94" s="23"/>
      <c r="P94" s="23"/>
      <c r="Q94" s="23"/>
      <c r="R94" s="23">
        <f t="shared" si="37"/>
        <v>10000</v>
      </c>
      <c r="S94" s="25">
        <f t="shared" si="34"/>
        <v>120000</v>
      </c>
    </row>
    <row r="95" spans="1:20" s="13" customFormat="1" x14ac:dyDescent="0.25">
      <c r="A95" s="20" t="s">
        <v>165</v>
      </c>
      <c r="B95" s="21" t="s">
        <v>166</v>
      </c>
      <c r="C95" s="22">
        <v>1</v>
      </c>
      <c r="D95" s="22">
        <v>14</v>
      </c>
      <c r="E95" s="23">
        <v>7732</v>
      </c>
      <c r="F95" s="22"/>
      <c r="G95" s="23">
        <f t="shared" si="30"/>
        <v>7732</v>
      </c>
      <c r="H95" s="23"/>
      <c r="I95" s="23"/>
      <c r="J95" s="23"/>
      <c r="K95" s="23">
        <f t="shared" si="33"/>
        <v>2319.6</v>
      </c>
      <c r="L95" s="23">
        <f t="shared" ref="L95" si="38">20000-G95-K95</f>
        <v>9948.4</v>
      </c>
      <c r="M95" s="23"/>
      <c r="N95" s="23"/>
      <c r="O95" s="23"/>
      <c r="P95" s="23"/>
      <c r="Q95" s="23"/>
      <c r="R95" s="23">
        <f t="shared" si="37"/>
        <v>20000</v>
      </c>
      <c r="S95" s="25">
        <f t="shared" si="34"/>
        <v>240000</v>
      </c>
      <c r="T95" s="52"/>
    </row>
    <row r="96" spans="1:20" x14ac:dyDescent="0.25">
      <c r="A96" s="20" t="s">
        <v>167</v>
      </c>
      <c r="B96" s="21" t="s">
        <v>112</v>
      </c>
      <c r="C96" s="22">
        <v>0.5</v>
      </c>
      <c r="D96" s="22">
        <v>10</v>
      </c>
      <c r="E96" s="23">
        <v>2907.5</v>
      </c>
      <c r="F96" s="22"/>
      <c r="G96" s="23">
        <f t="shared" si="30"/>
        <v>2907.5</v>
      </c>
      <c r="H96" s="23"/>
      <c r="I96" s="23"/>
      <c r="J96" s="23"/>
      <c r="K96" s="23">
        <f t="shared" si="33"/>
        <v>872.25</v>
      </c>
      <c r="L96" s="23">
        <f>20000/2-G96-K96</f>
        <v>6220.25</v>
      </c>
      <c r="M96" s="23"/>
      <c r="N96" s="23"/>
      <c r="O96" s="23"/>
      <c r="P96" s="23"/>
      <c r="Q96" s="23"/>
      <c r="R96" s="23">
        <f t="shared" si="37"/>
        <v>10000</v>
      </c>
      <c r="S96" s="25">
        <f t="shared" si="34"/>
        <v>120000</v>
      </c>
      <c r="T96" s="53"/>
    </row>
    <row r="97" spans="1:20" s="13" customFormat="1" x14ac:dyDescent="0.25">
      <c r="A97" s="20" t="s">
        <v>168</v>
      </c>
      <c r="B97" s="21" t="s">
        <v>169</v>
      </c>
      <c r="C97" s="22">
        <v>1.5</v>
      </c>
      <c r="D97" s="22">
        <v>14</v>
      </c>
      <c r="E97" s="23">
        <f>7732*C97</f>
        <v>11598</v>
      </c>
      <c r="F97" s="22"/>
      <c r="G97" s="23">
        <f t="shared" si="30"/>
        <v>11598</v>
      </c>
      <c r="H97" s="23"/>
      <c r="I97" s="23"/>
      <c r="J97" s="23"/>
      <c r="K97" s="23">
        <f t="shared" si="33"/>
        <v>3479.4</v>
      </c>
      <c r="L97" s="23">
        <f>20000*C97-G97-K97</f>
        <v>14922.6</v>
      </c>
      <c r="M97" s="23"/>
      <c r="N97" s="23"/>
      <c r="O97" s="23"/>
      <c r="P97" s="23"/>
      <c r="Q97" s="23"/>
      <c r="R97" s="23">
        <f t="shared" si="37"/>
        <v>30000</v>
      </c>
      <c r="S97" s="25">
        <f t="shared" si="34"/>
        <v>360000</v>
      </c>
      <c r="T97" s="52"/>
    </row>
    <row r="98" spans="1:20" x14ac:dyDescent="0.25">
      <c r="A98" s="20" t="s">
        <v>170</v>
      </c>
      <c r="B98" s="21" t="s">
        <v>171</v>
      </c>
      <c r="C98" s="22">
        <v>0.5</v>
      </c>
      <c r="D98" s="22">
        <v>13</v>
      </c>
      <c r="E98" s="23">
        <f>7523*C98</f>
        <v>3761.5</v>
      </c>
      <c r="F98" s="22"/>
      <c r="G98" s="23">
        <f t="shared" si="30"/>
        <v>3761.5</v>
      </c>
      <c r="H98" s="23"/>
      <c r="I98" s="23"/>
      <c r="J98" s="23"/>
      <c r="K98" s="23">
        <f t="shared" si="33"/>
        <v>1128.45</v>
      </c>
      <c r="L98" s="23">
        <f>20000/2-G98-K98</f>
        <v>5110.05</v>
      </c>
      <c r="M98" s="23"/>
      <c r="N98" s="23"/>
      <c r="O98" s="23"/>
      <c r="P98" s="23"/>
      <c r="Q98" s="23"/>
      <c r="R98" s="23">
        <f t="shared" si="37"/>
        <v>10000</v>
      </c>
      <c r="S98" s="25">
        <f t="shared" si="34"/>
        <v>120000</v>
      </c>
      <c r="T98" s="53"/>
    </row>
    <row r="99" spans="1:20" x14ac:dyDescent="0.25">
      <c r="A99" s="20" t="s">
        <v>172</v>
      </c>
      <c r="B99" s="21" t="s">
        <v>173</v>
      </c>
      <c r="C99" s="22">
        <v>0.5</v>
      </c>
      <c r="D99" s="22">
        <v>14</v>
      </c>
      <c r="E99" s="23">
        <v>3866</v>
      </c>
      <c r="F99" s="22"/>
      <c r="G99" s="23">
        <f t="shared" si="30"/>
        <v>3866</v>
      </c>
      <c r="H99" s="23"/>
      <c r="I99" s="23"/>
      <c r="J99" s="23"/>
      <c r="K99" s="23">
        <f t="shared" si="33"/>
        <v>1159.8</v>
      </c>
      <c r="L99" s="23">
        <f>20000/2-G99-K99</f>
        <v>4974.2</v>
      </c>
      <c r="M99" s="23"/>
      <c r="N99" s="23"/>
      <c r="O99" s="23"/>
      <c r="P99" s="23"/>
      <c r="Q99" s="23"/>
      <c r="R99" s="23">
        <f t="shared" si="37"/>
        <v>10000</v>
      </c>
      <c r="S99" s="25">
        <f t="shared" si="34"/>
        <v>120000</v>
      </c>
      <c r="T99" s="53"/>
    </row>
    <row r="100" spans="1:20" x14ac:dyDescent="0.25">
      <c r="A100" s="20" t="s">
        <v>174</v>
      </c>
      <c r="B100" s="21" t="s">
        <v>128</v>
      </c>
      <c r="C100" s="22">
        <v>0.5</v>
      </c>
      <c r="D100" s="22">
        <v>9</v>
      </c>
      <c r="E100" s="23">
        <f>5527*C100</f>
        <v>2763.5</v>
      </c>
      <c r="F100" s="22"/>
      <c r="G100" s="23">
        <f t="shared" si="30"/>
        <v>2763.5</v>
      </c>
      <c r="H100" s="23"/>
      <c r="I100" s="23"/>
      <c r="J100" s="23"/>
      <c r="K100" s="23">
        <f t="shared" si="33"/>
        <v>829.05</v>
      </c>
      <c r="L100" s="23">
        <f>13500*C100-G100-K100</f>
        <v>3157.45</v>
      </c>
      <c r="M100" s="23"/>
      <c r="N100" s="23"/>
      <c r="O100" s="23"/>
      <c r="P100" s="23"/>
      <c r="Q100" s="23"/>
      <c r="R100" s="23">
        <f>G100+K100+L100</f>
        <v>6750</v>
      </c>
      <c r="S100" s="25">
        <f t="shared" si="34"/>
        <v>81000</v>
      </c>
      <c r="T100" s="53"/>
    </row>
    <row r="101" spans="1:20" x14ac:dyDescent="0.25">
      <c r="A101" s="20" t="s">
        <v>175</v>
      </c>
      <c r="B101" s="21" t="s">
        <v>176</v>
      </c>
      <c r="C101" s="22">
        <v>1</v>
      </c>
      <c r="D101" s="22">
        <v>9</v>
      </c>
      <c r="E101" s="23">
        <v>5527</v>
      </c>
      <c r="F101" s="22">
        <f>E101*0.15</f>
        <v>829.05</v>
      </c>
      <c r="G101" s="23">
        <f t="shared" si="30"/>
        <v>6356.05</v>
      </c>
      <c r="H101" s="23"/>
      <c r="I101" s="23"/>
      <c r="J101" s="23"/>
      <c r="K101" s="23">
        <f t="shared" si="33"/>
        <v>1906.8150000000001</v>
      </c>
      <c r="L101" s="23">
        <f>13500-G101-K101</f>
        <v>5237.1350000000002</v>
      </c>
      <c r="M101" s="23"/>
      <c r="N101" s="23"/>
      <c r="O101" s="23"/>
      <c r="P101" s="23"/>
      <c r="Q101" s="23"/>
      <c r="R101" s="23">
        <f>G101+K101+L101</f>
        <v>13500</v>
      </c>
      <c r="S101" s="25">
        <f t="shared" si="34"/>
        <v>162000</v>
      </c>
      <c r="T101" s="53"/>
    </row>
    <row r="102" spans="1:20" x14ac:dyDescent="0.25">
      <c r="A102" s="20" t="s">
        <v>177</v>
      </c>
      <c r="B102" s="21" t="s">
        <v>178</v>
      </c>
      <c r="C102" s="22">
        <v>1.5</v>
      </c>
      <c r="D102" s="22">
        <v>7</v>
      </c>
      <c r="E102" s="23">
        <v>7380</v>
      </c>
      <c r="F102" s="22"/>
      <c r="G102" s="23">
        <f t="shared" si="30"/>
        <v>7380</v>
      </c>
      <c r="H102" s="23"/>
      <c r="I102" s="23">
        <f>G102*0.1</f>
        <v>738</v>
      </c>
      <c r="J102" s="23"/>
      <c r="K102" s="23">
        <f t="shared" si="33"/>
        <v>2214</v>
      </c>
      <c r="L102" s="23">
        <f>13500*1.5-G102-I102-K102</f>
        <v>9918</v>
      </c>
      <c r="M102" s="23"/>
      <c r="N102" s="23"/>
      <c r="O102" s="23"/>
      <c r="P102" s="23"/>
      <c r="Q102" s="23"/>
      <c r="R102" s="23">
        <f>G102+I102+K102+L102</f>
        <v>20250</v>
      </c>
      <c r="S102" s="25">
        <f t="shared" si="34"/>
        <v>243000</v>
      </c>
      <c r="T102" s="53"/>
    </row>
    <row r="103" spans="1:20" x14ac:dyDescent="0.25">
      <c r="A103" s="20" t="s">
        <v>179</v>
      </c>
      <c r="B103" s="21" t="s">
        <v>91</v>
      </c>
      <c r="C103" s="22">
        <v>6</v>
      </c>
      <c r="D103" s="22">
        <v>9</v>
      </c>
      <c r="E103" s="23">
        <f>5527*C103</f>
        <v>33162</v>
      </c>
      <c r="F103" s="22"/>
      <c r="G103" s="23">
        <f t="shared" si="30"/>
        <v>33162</v>
      </c>
      <c r="H103" s="23"/>
      <c r="I103" s="23"/>
      <c r="J103" s="23"/>
      <c r="K103" s="23">
        <f t="shared" si="33"/>
        <v>9948.6</v>
      </c>
      <c r="L103" s="23">
        <f>13500*C103-G103-K103</f>
        <v>37889.4</v>
      </c>
      <c r="M103" s="23"/>
      <c r="N103" s="23"/>
      <c r="O103" s="23"/>
      <c r="P103" s="23"/>
      <c r="Q103" s="23"/>
      <c r="R103" s="23">
        <f t="shared" ref="R103" si="39">G103+K103+L103</f>
        <v>81000</v>
      </c>
      <c r="S103" s="25">
        <f t="shared" si="34"/>
        <v>972000</v>
      </c>
      <c r="T103" s="53"/>
    </row>
    <row r="104" spans="1:20" x14ac:dyDescent="0.25">
      <c r="A104" s="20" t="s">
        <v>181</v>
      </c>
      <c r="B104" s="21" t="s">
        <v>180</v>
      </c>
      <c r="C104" s="22">
        <v>1</v>
      </c>
      <c r="D104" s="22">
        <v>9</v>
      </c>
      <c r="E104" s="23">
        <f>5527*C104</f>
        <v>5527</v>
      </c>
      <c r="F104" s="22"/>
      <c r="G104" s="23">
        <f t="shared" si="30"/>
        <v>5527</v>
      </c>
      <c r="H104" s="23"/>
      <c r="I104" s="23">
        <f>G104*0.1</f>
        <v>552.70000000000005</v>
      </c>
      <c r="J104" s="23"/>
      <c r="K104" s="23">
        <f t="shared" si="33"/>
        <v>1658.1</v>
      </c>
      <c r="L104" s="23">
        <f>13500-G104-K104-I104</f>
        <v>5762.2</v>
      </c>
      <c r="M104" s="23"/>
      <c r="N104" s="23"/>
      <c r="O104" s="23"/>
      <c r="P104" s="23"/>
      <c r="Q104" s="23"/>
      <c r="R104" s="23">
        <f>G104+K104+L104+I104</f>
        <v>13500</v>
      </c>
      <c r="S104" s="25">
        <f t="shared" si="34"/>
        <v>162000</v>
      </c>
      <c r="T104" s="53"/>
    </row>
    <row r="105" spans="1:20" x14ac:dyDescent="0.25">
      <c r="A105" s="20" t="s">
        <v>183</v>
      </c>
      <c r="B105" s="21" t="s">
        <v>182</v>
      </c>
      <c r="C105" s="22">
        <v>2</v>
      </c>
      <c r="D105" s="22">
        <v>9</v>
      </c>
      <c r="E105" s="23">
        <f>5527*C105</f>
        <v>11054</v>
      </c>
      <c r="F105" s="22">
        <f>E105*0.15</f>
        <v>1658.1</v>
      </c>
      <c r="G105" s="23">
        <f t="shared" si="30"/>
        <v>12712.1</v>
      </c>
      <c r="H105" s="23"/>
      <c r="I105" s="23"/>
      <c r="J105" s="23"/>
      <c r="K105" s="23">
        <f t="shared" si="33"/>
        <v>3813.63</v>
      </c>
      <c r="L105" s="23">
        <f>13500*C105-G105-K105</f>
        <v>10474.27</v>
      </c>
      <c r="M105" s="23"/>
      <c r="N105" s="23"/>
      <c r="O105" s="23"/>
      <c r="P105" s="23"/>
      <c r="Q105" s="23"/>
      <c r="R105" s="23">
        <f t="shared" ref="R105" si="40">G105+K105+L105</f>
        <v>27000</v>
      </c>
      <c r="S105" s="25">
        <f t="shared" si="34"/>
        <v>324000</v>
      </c>
      <c r="T105" s="53"/>
    </row>
    <row r="106" spans="1:20" s="38" customFormat="1" x14ac:dyDescent="0.25">
      <c r="A106" s="20" t="s">
        <v>185</v>
      </c>
      <c r="B106" s="21" t="s">
        <v>184</v>
      </c>
      <c r="C106" s="22">
        <v>0.5</v>
      </c>
      <c r="D106" s="22">
        <v>4</v>
      </c>
      <c r="E106" s="23">
        <v>2029</v>
      </c>
      <c r="F106" s="22"/>
      <c r="G106" s="23">
        <f>E106+F106</f>
        <v>2029</v>
      </c>
      <c r="H106" s="23"/>
      <c r="I106" s="23"/>
      <c r="J106" s="23"/>
      <c r="K106" s="23"/>
      <c r="L106" s="23"/>
      <c r="M106" s="23"/>
      <c r="N106" s="23"/>
      <c r="O106" s="23"/>
      <c r="P106" s="23">
        <f>8000/2-G106</f>
        <v>1971</v>
      </c>
      <c r="Q106" s="23"/>
      <c r="R106" s="23">
        <f>G106+I106+P106</f>
        <v>4000</v>
      </c>
      <c r="S106" s="25">
        <f t="shared" si="34"/>
        <v>48000</v>
      </c>
      <c r="T106" s="46"/>
    </row>
    <row r="107" spans="1:20" x14ac:dyDescent="0.25">
      <c r="A107" s="20" t="s">
        <v>188</v>
      </c>
      <c r="B107" s="21" t="s">
        <v>134</v>
      </c>
      <c r="C107" s="22">
        <v>4</v>
      </c>
      <c r="D107" s="22">
        <v>3</v>
      </c>
      <c r="E107" s="23">
        <f>3770*C107</f>
        <v>15080</v>
      </c>
      <c r="F107" s="22"/>
      <c r="G107" s="23">
        <f t="shared" si="30"/>
        <v>15080</v>
      </c>
      <c r="H107" s="23"/>
      <c r="I107" s="23">
        <f>G107*0.1</f>
        <v>1508</v>
      </c>
      <c r="J107" s="23"/>
      <c r="K107" s="23"/>
      <c r="L107" s="23"/>
      <c r="M107" s="23"/>
      <c r="N107" s="23"/>
      <c r="O107" s="23"/>
      <c r="P107" s="23">
        <f>8000*C107-G107</f>
        <v>16920</v>
      </c>
      <c r="Q107" s="23"/>
      <c r="R107" s="23">
        <f>G107+I107+P107</f>
        <v>33508</v>
      </c>
      <c r="S107" s="25">
        <f t="shared" si="34"/>
        <v>402096</v>
      </c>
      <c r="T107" s="53"/>
    </row>
    <row r="108" spans="1:20" s="27" customFormat="1" ht="18" customHeight="1" thickBot="1" x14ac:dyDescent="0.3">
      <c r="A108" s="112"/>
      <c r="B108" s="113" t="s">
        <v>59</v>
      </c>
      <c r="C108" s="114">
        <f>SUM(C81:C107)</f>
        <v>32.75</v>
      </c>
      <c r="D108" s="114"/>
      <c r="E108" s="115">
        <f>SUM(E81:E107)</f>
        <v>200393.5</v>
      </c>
      <c r="F108" s="115">
        <f>SUM(F81:F107)</f>
        <v>9147.8000000000011</v>
      </c>
      <c r="G108" s="115">
        <f>SUM(G81:G107)</f>
        <v>209541.30000000002</v>
      </c>
      <c r="H108" s="115"/>
      <c r="I108" s="115">
        <f>SUM(I81:I107)</f>
        <v>2798.7</v>
      </c>
      <c r="J108" s="115"/>
      <c r="K108" s="115">
        <f>SUM(K81:K107)</f>
        <v>57729.689999999995</v>
      </c>
      <c r="L108" s="115">
        <f>SUM(L81:L107)</f>
        <v>235547.31000000003</v>
      </c>
      <c r="M108" s="115"/>
      <c r="N108" s="115"/>
      <c r="O108" s="115"/>
      <c r="P108" s="115">
        <f>SUM(P106:P107)</f>
        <v>18891</v>
      </c>
      <c r="Q108" s="115"/>
      <c r="R108" s="115">
        <f>SUM(R81:R107)</f>
        <v>524508</v>
      </c>
      <c r="S108" s="116">
        <f>SUM(S81:S107)</f>
        <v>6294096</v>
      </c>
      <c r="T108" s="54"/>
    </row>
    <row r="109" spans="1:20" ht="22.2" customHeight="1" x14ac:dyDescent="0.25">
      <c r="A109" s="15"/>
      <c r="B109" s="86" t="s">
        <v>187</v>
      </c>
      <c r="C109" s="85"/>
      <c r="D109" s="85"/>
      <c r="E109" s="94"/>
      <c r="F109" s="85"/>
      <c r="G109" s="94"/>
      <c r="H109" s="94"/>
      <c r="I109" s="94"/>
      <c r="J109" s="94"/>
      <c r="K109" s="94"/>
      <c r="L109" s="94"/>
      <c r="M109" s="94"/>
      <c r="N109" s="94"/>
      <c r="O109" s="94"/>
      <c r="P109" s="94"/>
      <c r="Q109" s="94"/>
      <c r="R109" s="94"/>
      <c r="S109" s="110"/>
      <c r="T109" s="53"/>
    </row>
    <row r="110" spans="1:20" x14ac:dyDescent="0.25">
      <c r="A110" s="20" t="s">
        <v>190</v>
      </c>
      <c r="B110" s="21" t="s">
        <v>189</v>
      </c>
      <c r="C110" s="22">
        <v>1</v>
      </c>
      <c r="D110" s="22">
        <v>10</v>
      </c>
      <c r="E110" s="23">
        <v>5815</v>
      </c>
      <c r="F110" s="22">
        <f>E110*0.15</f>
        <v>872.25</v>
      </c>
      <c r="G110" s="23">
        <f t="shared" ref="G110:G114" si="41">E110+F110</f>
        <v>6687.25</v>
      </c>
      <c r="H110" s="23"/>
      <c r="I110" s="23">
        <f>G110*0.1</f>
        <v>668.72500000000002</v>
      </c>
      <c r="J110" s="23"/>
      <c r="K110" s="23">
        <f>G110*0.3</f>
        <v>2006.175</v>
      </c>
      <c r="L110" s="23">
        <f>20000-G110-I110-K110</f>
        <v>10637.85</v>
      </c>
      <c r="M110" s="23"/>
      <c r="N110" s="23"/>
      <c r="O110" s="23"/>
      <c r="P110" s="23"/>
      <c r="Q110" s="23"/>
      <c r="R110" s="23">
        <f>G110+I110+K110+L110</f>
        <v>20000</v>
      </c>
      <c r="S110" s="25">
        <f>R110*12</f>
        <v>240000</v>
      </c>
      <c r="T110" s="53"/>
    </row>
    <row r="111" spans="1:20" x14ac:dyDescent="0.25">
      <c r="A111" s="20" t="s">
        <v>192</v>
      </c>
      <c r="B111" s="21" t="s">
        <v>191</v>
      </c>
      <c r="C111" s="22">
        <v>1</v>
      </c>
      <c r="D111" s="22">
        <v>9</v>
      </c>
      <c r="E111" s="23">
        <v>5527</v>
      </c>
      <c r="F111" s="22">
        <f>E111*0.15</f>
        <v>829.05</v>
      </c>
      <c r="G111" s="23">
        <f t="shared" si="41"/>
        <v>6356.05</v>
      </c>
      <c r="H111" s="23"/>
      <c r="I111" s="23"/>
      <c r="J111" s="23"/>
      <c r="K111" s="23">
        <f t="shared" ref="K111:K112" si="42">G111*0.3</f>
        <v>1906.8150000000001</v>
      </c>
      <c r="L111" s="23">
        <f>20000-G111-K111</f>
        <v>11737.135</v>
      </c>
      <c r="M111" s="23"/>
      <c r="N111" s="23"/>
      <c r="O111" s="23"/>
      <c r="P111" s="23"/>
      <c r="Q111" s="23"/>
      <c r="R111" s="23">
        <f>G111+I111+K111+L111</f>
        <v>20000</v>
      </c>
      <c r="S111" s="25">
        <f t="shared" ref="S111:S113" si="43">R111*12</f>
        <v>240000</v>
      </c>
      <c r="T111" s="53"/>
    </row>
    <row r="112" spans="1:20" x14ac:dyDescent="0.25">
      <c r="A112" s="20" t="s">
        <v>194</v>
      </c>
      <c r="B112" s="21" t="s">
        <v>193</v>
      </c>
      <c r="C112" s="22">
        <v>2.5</v>
      </c>
      <c r="D112" s="22">
        <v>10</v>
      </c>
      <c r="E112" s="23">
        <f>5815*C112</f>
        <v>14537.5</v>
      </c>
      <c r="F112" s="22">
        <f>E112*0.15</f>
        <v>2180.625</v>
      </c>
      <c r="G112" s="23">
        <f t="shared" si="41"/>
        <v>16718.125</v>
      </c>
      <c r="H112" s="23"/>
      <c r="I112" s="23">
        <f>G112*0.1</f>
        <v>1671.8125</v>
      </c>
      <c r="J112" s="23"/>
      <c r="K112" s="23">
        <f t="shared" si="42"/>
        <v>5015.4375</v>
      </c>
      <c r="L112" s="23">
        <f>13500*C112-G112-I112-K112</f>
        <v>10344.625</v>
      </c>
      <c r="M112" s="23"/>
      <c r="N112" s="23"/>
      <c r="O112" s="23"/>
      <c r="P112" s="23"/>
      <c r="Q112" s="23"/>
      <c r="R112" s="23">
        <f>G112+I112+K112+L112</f>
        <v>33750</v>
      </c>
      <c r="S112" s="25">
        <f t="shared" si="43"/>
        <v>405000</v>
      </c>
      <c r="T112" s="53"/>
    </row>
    <row r="113" spans="1:20" s="38" customFormat="1" x14ac:dyDescent="0.25">
      <c r="A113" s="20" t="s">
        <v>197</v>
      </c>
      <c r="B113" s="21" t="s">
        <v>186</v>
      </c>
      <c r="C113" s="22">
        <v>1</v>
      </c>
      <c r="D113" s="22">
        <v>3</v>
      </c>
      <c r="E113" s="23">
        <f>3770*C113</f>
        <v>3770</v>
      </c>
      <c r="F113" s="22">
        <f>E113*0.15</f>
        <v>565.5</v>
      </c>
      <c r="G113" s="23">
        <f t="shared" si="41"/>
        <v>4335.5</v>
      </c>
      <c r="H113" s="23"/>
      <c r="I113" s="23">
        <f>G113*0.1</f>
        <v>433.55</v>
      </c>
      <c r="J113" s="23"/>
      <c r="K113" s="23" t="s">
        <v>195</v>
      </c>
      <c r="L113" s="23"/>
      <c r="M113" s="23"/>
      <c r="N113" s="23"/>
      <c r="O113" s="23"/>
      <c r="P113" s="23">
        <f>8000*C113-E113</f>
        <v>4230</v>
      </c>
      <c r="Q113" s="23"/>
      <c r="R113" s="23">
        <f>G113+I113+P113</f>
        <v>8999.0499999999993</v>
      </c>
      <c r="S113" s="25">
        <f t="shared" si="43"/>
        <v>107988.59999999999</v>
      </c>
      <c r="T113" s="46"/>
    </row>
    <row r="114" spans="1:20" s="27" customFormat="1" ht="21.6" customHeight="1" thickBot="1" x14ac:dyDescent="0.3">
      <c r="A114" s="64"/>
      <c r="B114" s="47" t="s">
        <v>59</v>
      </c>
      <c r="C114" s="34">
        <f>C110+C111+C112+C113</f>
        <v>5.5</v>
      </c>
      <c r="D114" s="34"/>
      <c r="E114" s="35">
        <f>SUM(E110:E113)</f>
        <v>29649.5</v>
      </c>
      <c r="F114" s="34">
        <f>SUM(F110:F113)</f>
        <v>4447.4250000000002</v>
      </c>
      <c r="G114" s="35">
        <f t="shared" si="41"/>
        <v>34096.925000000003</v>
      </c>
      <c r="H114" s="35"/>
      <c r="I114" s="35">
        <f>SUM(I110:I113)</f>
        <v>2774.0875000000001</v>
      </c>
      <c r="J114" s="35"/>
      <c r="K114" s="35">
        <f>SUM(K110:K113)</f>
        <v>8928.4274999999998</v>
      </c>
      <c r="L114" s="35">
        <f>SUM(L110:L113)</f>
        <v>32719.61</v>
      </c>
      <c r="M114" s="35"/>
      <c r="N114" s="35"/>
      <c r="O114" s="35"/>
      <c r="P114" s="35">
        <f>SUM(P110:P113)</f>
        <v>4230</v>
      </c>
      <c r="Q114" s="35"/>
      <c r="R114" s="35">
        <f>SUM(R110:R113)</f>
        <v>82749.05</v>
      </c>
      <c r="S114" s="36">
        <f>SUM(S110:S113)</f>
        <v>992988.6</v>
      </c>
      <c r="T114" s="54"/>
    </row>
    <row r="115" spans="1:20" ht="23.4" customHeight="1" x14ac:dyDescent="0.25">
      <c r="A115" s="18"/>
      <c r="B115" s="86" t="s">
        <v>196</v>
      </c>
      <c r="C115" s="86"/>
      <c r="D115" s="86"/>
      <c r="E115" s="92"/>
      <c r="F115" s="86"/>
      <c r="G115" s="94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3"/>
      <c r="T115" s="53"/>
    </row>
    <row r="116" spans="1:20" ht="14.4" customHeight="1" x14ac:dyDescent="0.25">
      <c r="A116" s="20" t="s">
        <v>198</v>
      </c>
      <c r="B116" s="21" t="s">
        <v>110</v>
      </c>
      <c r="C116" s="22">
        <v>0.25</v>
      </c>
      <c r="D116" s="22">
        <v>10</v>
      </c>
      <c r="E116" s="23">
        <f>5815*C116</f>
        <v>1453.75</v>
      </c>
      <c r="F116" s="22">
        <f t="shared" ref="F116:F119" si="44">E116*0.15</f>
        <v>218.0625</v>
      </c>
      <c r="G116" s="23">
        <f t="shared" si="20"/>
        <v>1671.8125</v>
      </c>
      <c r="H116" s="23"/>
      <c r="I116" s="23"/>
      <c r="J116" s="23"/>
      <c r="K116" s="23">
        <f>G116*0.3</f>
        <v>501.54374999999999</v>
      </c>
      <c r="L116" s="23">
        <f>20000*C116-G116-K116</f>
        <v>2826.6437500000002</v>
      </c>
      <c r="M116" s="23"/>
      <c r="N116" s="23"/>
      <c r="O116" s="23"/>
      <c r="P116" s="23"/>
      <c r="Q116" s="23"/>
      <c r="R116" s="23">
        <f t="shared" ref="R116:R117" si="45">G116+K116+L116</f>
        <v>5000</v>
      </c>
      <c r="S116" s="25">
        <f>R116*12</f>
        <v>60000</v>
      </c>
      <c r="T116" s="53"/>
    </row>
    <row r="117" spans="1:20" x14ac:dyDescent="0.25">
      <c r="A117" s="20" t="s">
        <v>199</v>
      </c>
      <c r="B117" s="21" t="s">
        <v>104</v>
      </c>
      <c r="C117" s="22">
        <v>0.25</v>
      </c>
      <c r="D117" s="22">
        <v>10</v>
      </c>
      <c r="E117" s="23">
        <f>5815*C117</f>
        <v>1453.75</v>
      </c>
      <c r="F117" s="22">
        <f t="shared" si="44"/>
        <v>218.0625</v>
      </c>
      <c r="G117" s="23">
        <f t="shared" si="20"/>
        <v>1671.8125</v>
      </c>
      <c r="H117" s="23"/>
      <c r="I117" s="23"/>
      <c r="J117" s="23"/>
      <c r="K117" s="23">
        <f t="shared" ref="K117:K118" si="46">G117*0.3</f>
        <v>501.54374999999999</v>
      </c>
      <c r="L117" s="23">
        <f>20000*C117-G117-K117</f>
        <v>2826.6437500000002</v>
      </c>
      <c r="M117" s="23"/>
      <c r="N117" s="23"/>
      <c r="O117" s="23"/>
      <c r="P117" s="23"/>
      <c r="Q117" s="23"/>
      <c r="R117" s="23">
        <f t="shared" si="45"/>
        <v>5000</v>
      </c>
      <c r="S117" s="25">
        <f t="shared" ref="S117:S119" si="47">R117*12</f>
        <v>60000</v>
      </c>
      <c r="T117" s="53"/>
    </row>
    <row r="118" spans="1:20" x14ac:dyDescent="0.25">
      <c r="A118" s="20" t="s">
        <v>200</v>
      </c>
      <c r="B118" s="21" t="s">
        <v>130</v>
      </c>
      <c r="C118" s="22">
        <v>4.5</v>
      </c>
      <c r="D118" s="22">
        <v>9</v>
      </c>
      <c r="E118" s="23">
        <f>5527*C118</f>
        <v>24871.5</v>
      </c>
      <c r="F118" s="22">
        <f t="shared" si="44"/>
        <v>3730.7249999999999</v>
      </c>
      <c r="G118" s="23">
        <f t="shared" si="20"/>
        <v>28602.224999999999</v>
      </c>
      <c r="H118" s="23"/>
      <c r="I118" s="23">
        <f t="shared" ref="I118:I119" si="48">G118*0.1</f>
        <v>2860.2224999999999</v>
      </c>
      <c r="J118" s="23"/>
      <c r="K118" s="23">
        <f t="shared" si="46"/>
        <v>8580.6674999999996</v>
      </c>
      <c r="L118" s="23">
        <f>13500*C118-G118-K118-I118-N118</f>
        <v>17793.585000000003</v>
      </c>
      <c r="M118" s="23"/>
      <c r="N118" s="23">
        <f>647.4*C118</f>
        <v>2913.2999999999997</v>
      </c>
      <c r="O118" s="23"/>
      <c r="P118" s="23"/>
      <c r="Q118" s="23"/>
      <c r="R118" s="23">
        <f>G118+K118+L118+I118+N118</f>
        <v>60750.000000000015</v>
      </c>
      <c r="S118" s="25">
        <f t="shared" si="47"/>
        <v>729000.00000000023</v>
      </c>
      <c r="T118" s="53"/>
    </row>
    <row r="119" spans="1:20" s="13" customFormat="1" x14ac:dyDescent="0.2">
      <c r="A119" s="28" t="s">
        <v>202</v>
      </c>
      <c r="B119" s="21" t="s">
        <v>134</v>
      </c>
      <c r="C119" s="22">
        <v>3.5</v>
      </c>
      <c r="D119" s="22">
        <v>4</v>
      </c>
      <c r="E119" s="23">
        <f>4058*C119</f>
        <v>14203</v>
      </c>
      <c r="F119" s="22">
        <f t="shared" si="44"/>
        <v>2130.4499999999998</v>
      </c>
      <c r="G119" s="23">
        <f t="shared" si="20"/>
        <v>16333.45</v>
      </c>
      <c r="H119" s="23"/>
      <c r="I119" s="23">
        <f t="shared" si="48"/>
        <v>1633.3450000000003</v>
      </c>
      <c r="J119" s="23"/>
      <c r="K119" s="23"/>
      <c r="L119" s="23"/>
      <c r="M119" s="23"/>
      <c r="N119" s="23">
        <f>475.33*C119</f>
        <v>1663.655</v>
      </c>
      <c r="O119" s="23"/>
      <c r="P119" s="23">
        <f>8000*C119-E119</f>
        <v>13797</v>
      </c>
      <c r="Q119" s="23"/>
      <c r="R119" s="23">
        <f>G119+I119+P119+N119</f>
        <v>33427.450000000004</v>
      </c>
      <c r="S119" s="25">
        <f t="shared" si="47"/>
        <v>401129.4</v>
      </c>
      <c r="T119" s="52"/>
    </row>
    <row r="120" spans="1:20" s="27" customFormat="1" ht="21.6" customHeight="1" thickBot="1" x14ac:dyDescent="0.3">
      <c r="A120" s="64"/>
      <c r="B120" s="117" t="s">
        <v>59</v>
      </c>
      <c r="C120" s="34">
        <f>SUM(C116:C119)</f>
        <v>8.5</v>
      </c>
      <c r="D120" s="34"/>
      <c r="E120" s="35">
        <f>SUM(E116:E119)</f>
        <v>41982</v>
      </c>
      <c r="F120" s="34">
        <f>SUM(F116:F119)</f>
        <v>6297.3</v>
      </c>
      <c r="G120" s="35">
        <f>SUM(G116:G119)</f>
        <v>48279.3</v>
      </c>
      <c r="H120" s="35"/>
      <c r="I120" s="35">
        <f>SUM(I116:I119)</f>
        <v>4493.5675000000001</v>
      </c>
      <c r="J120" s="35"/>
      <c r="K120" s="35">
        <f>SUM(K116:K119)</f>
        <v>9583.7549999999992</v>
      </c>
      <c r="L120" s="35">
        <f>SUM(L116:L119)</f>
        <v>23446.872500000005</v>
      </c>
      <c r="M120" s="35"/>
      <c r="N120" s="35">
        <f>SUM(N116:N119)</f>
        <v>4576.9549999999999</v>
      </c>
      <c r="O120" s="35"/>
      <c r="P120" s="35">
        <f>SUM(P116:P119)</f>
        <v>13797</v>
      </c>
      <c r="Q120" s="35"/>
      <c r="R120" s="35">
        <f>SUM(R116:R119)</f>
        <v>104177.45000000001</v>
      </c>
      <c r="S120" s="36">
        <f>SUM(S116:S119)</f>
        <v>1250129.4000000004</v>
      </c>
      <c r="T120" s="54"/>
    </row>
    <row r="121" spans="1:20" s="56" customFormat="1" ht="19.2" customHeight="1" x14ac:dyDescent="0.25">
      <c r="A121" s="15"/>
      <c r="B121" s="86" t="s">
        <v>201</v>
      </c>
      <c r="C121" s="85"/>
      <c r="D121" s="85"/>
      <c r="E121" s="94"/>
      <c r="F121" s="85"/>
      <c r="G121" s="94"/>
      <c r="H121" s="94"/>
      <c r="I121" s="94"/>
      <c r="J121" s="94"/>
      <c r="K121" s="94"/>
      <c r="L121" s="94"/>
      <c r="M121" s="94"/>
      <c r="N121" s="94"/>
      <c r="O121" s="94"/>
      <c r="P121" s="94"/>
      <c r="Q121" s="94"/>
      <c r="R121" s="94"/>
      <c r="S121" s="110"/>
      <c r="T121" s="58"/>
    </row>
    <row r="122" spans="1:20" s="13" customFormat="1" x14ac:dyDescent="0.25">
      <c r="A122" s="20" t="s">
        <v>203</v>
      </c>
      <c r="B122" s="59" t="s">
        <v>100</v>
      </c>
      <c r="C122" s="22">
        <v>1</v>
      </c>
      <c r="D122" s="22">
        <v>13</v>
      </c>
      <c r="E122" s="23">
        <v>7253</v>
      </c>
      <c r="F122" s="22">
        <f>E122*0.2</f>
        <v>1450.6000000000001</v>
      </c>
      <c r="G122" s="23">
        <f t="shared" ref="G122:G123" si="49">E122+F122</f>
        <v>8703.6</v>
      </c>
      <c r="H122" s="23"/>
      <c r="I122" s="23"/>
      <c r="J122" s="23"/>
      <c r="K122" s="23">
        <f t="shared" ref="K122:K123" si="50">G122*0.3</f>
        <v>2611.08</v>
      </c>
      <c r="L122" s="23">
        <f t="shared" ref="L122" si="51">20000-G122-K122</f>
        <v>8685.32</v>
      </c>
      <c r="M122" s="23"/>
      <c r="N122" s="23"/>
      <c r="O122" s="23"/>
      <c r="P122" s="23"/>
      <c r="Q122" s="23"/>
      <c r="R122" s="23">
        <f>G122+K122+L122+O122</f>
        <v>20000</v>
      </c>
      <c r="S122" s="25">
        <f>R122*12</f>
        <v>240000</v>
      </c>
      <c r="T122" s="52"/>
    </row>
    <row r="123" spans="1:20" s="38" customFormat="1" x14ac:dyDescent="0.25">
      <c r="A123" s="57" t="s">
        <v>205</v>
      </c>
      <c r="B123" s="21" t="s">
        <v>128</v>
      </c>
      <c r="C123" s="22">
        <v>1</v>
      </c>
      <c r="D123" s="22">
        <v>10</v>
      </c>
      <c r="E123" s="23">
        <v>5815</v>
      </c>
      <c r="F123" s="22">
        <f>E123*0.1</f>
        <v>581.5</v>
      </c>
      <c r="G123" s="23">
        <f t="shared" si="49"/>
        <v>6396.5</v>
      </c>
      <c r="H123" s="23"/>
      <c r="I123" s="23"/>
      <c r="J123" s="23"/>
      <c r="K123" s="23">
        <f t="shared" si="50"/>
        <v>1918.9499999999998</v>
      </c>
      <c r="L123" s="23">
        <f>13500-G123-K123</f>
        <v>5184.55</v>
      </c>
      <c r="M123" s="23"/>
      <c r="N123" s="23"/>
      <c r="O123" s="23"/>
      <c r="P123" s="23"/>
      <c r="Q123" s="23"/>
      <c r="R123" s="23">
        <f>G123+K123+L123</f>
        <v>13500</v>
      </c>
      <c r="S123" s="25">
        <f>R123*12</f>
        <v>162000</v>
      </c>
      <c r="T123" s="46"/>
    </row>
    <row r="124" spans="1:20" x14ac:dyDescent="0.25">
      <c r="A124" s="28"/>
      <c r="B124" s="50"/>
      <c r="C124" s="60"/>
      <c r="D124" s="60"/>
      <c r="E124" s="61"/>
      <c r="F124" s="60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2"/>
      <c r="T124" s="53"/>
    </row>
    <row r="125" spans="1:20" ht="21" customHeight="1" x14ac:dyDescent="0.25">
      <c r="A125" s="20"/>
      <c r="B125" s="63" t="s">
        <v>204</v>
      </c>
      <c r="C125" s="29"/>
      <c r="D125" s="29"/>
      <c r="E125" s="30"/>
      <c r="F125" s="29"/>
      <c r="G125" s="23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1"/>
      <c r="T125" s="53"/>
    </row>
    <row r="126" spans="1:20" ht="11.4" customHeight="1" x14ac:dyDescent="0.25">
      <c r="A126" s="20" t="s">
        <v>207</v>
      </c>
      <c r="B126" s="21" t="s">
        <v>206</v>
      </c>
      <c r="C126" s="22">
        <v>4.5</v>
      </c>
      <c r="D126" s="22">
        <v>14</v>
      </c>
      <c r="E126" s="23">
        <f>7732*C126</f>
        <v>34794</v>
      </c>
      <c r="F126" s="22"/>
      <c r="G126" s="23">
        <f t="shared" ref="G126:G132" si="52">E126+F126</f>
        <v>34794</v>
      </c>
      <c r="H126" s="23"/>
      <c r="I126" s="23"/>
      <c r="J126" s="23"/>
      <c r="K126" s="23">
        <f t="shared" ref="K126" si="53">G126*0.3</f>
        <v>10438.199999999999</v>
      </c>
      <c r="L126" s="23">
        <f>20000*C126-G126-K126</f>
        <v>44767.8</v>
      </c>
      <c r="M126" s="23"/>
      <c r="N126" s="23"/>
      <c r="O126" s="23"/>
      <c r="P126" s="23"/>
      <c r="Q126" s="23"/>
      <c r="R126" s="23">
        <f>G126+K126+L126+O126</f>
        <v>90000</v>
      </c>
      <c r="S126" s="25">
        <f>R126*12</f>
        <v>1080000</v>
      </c>
    </row>
    <row r="127" spans="1:20" x14ac:dyDescent="0.25">
      <c r="A127" s="20" t="s">
        <v>209</v>
      </c>
      <c r="B127" s="21" t="s">
        <v>208</v>
      </c>
      <c r="C127" s="22">
        <v>1</v>
      </c>
      <c r="D127" s="22">
        <v>13</v>
      </c>
      <c r="E127" s="23">
        <v>7523</v>
      </c>
      <c r="F127" s="22"/>
      <c r="G127" s="23">
        <f t="shared" si="52"/>
        <v>7523</v>
      </c>
      <c r="H127" s="23"/>
      <c r="I127" s="23"/>
      <c r="J127" s="23"/>
      <c r="K127" s="23">
        <f>G127*0.3</f>
        <v>2256.9</v>
      </c>
      <c r="L127" s="23">
        <f>20000-G127-K127</f>
        <v>10220.1</v>
      </c>
      <c r="M127" s="23"/>
      <c r="N127" s="23"/>
      <c r="O127" s="23"/>
      <c r="P127" s="23"/>
      <c r="Q127" s="23"/>
      <c r="R127" s="23">
        <f>G127+K127+L127+O127</f>
        <v>20000</v>
      </c>
      <c r="S127" s="25">
        <f t="shared" ref="S127:S132" si="54">R127*12</f>
        <v>240000</v>
      </c>
    </row>
    <row r="128" spans="1:20" s="13" customFormat="1" x14ac:dyDescent="0.25">
      <c r="A128" s="20" t="s">
        <v>210</v>
      </c>
      <c r="B128" s="21" t="s">
        <v>112</v>
      </c>
      <c r="C128" s="22">
        <v>1</v>
      </c>
      <c r="D128" s="22">
        <v>12</v>
      </c>
      <c r="E128" s="23">
        <v>6773</v>
      </c>
      <c r="F128" s="22"/>
      <c r="G128" s="23">
        <f t="shared" si="52"/>
        <v>6773</v>
      </c>
      <c r="H128" s="23"/>
      <c r="I128" s="23"/>
      <c r="J128" s="23"/>
      <c r="K128" s="23">
        <f t="shared" ref="K128:K130" si="55">G128*0.3</f>
        <v>2031.8999999999999</v>
      </c>
      <c r="L128" s="23">
        <f t="shared" ref="L128" si="56">20000-G128-K128</f>
        <v>11195.1</v>
      </c>
      <c r="M128" s="23"/>
      <c r="N128" s="23"/>
      <c r="O128" s="23"/>
      <c r="P128" s="23"/>
      <c r="Q128" s="23"/>
      <c r="R128" s="23">
        <f>G128+K128+L128+O128</f>
        <v>20000</v>
      </c>
      <c r="S128" s="25">
        <f t="shared" si="54"/>
        <v>240000</v>
      </c>
    </row>
    <row r="129" spans="1:20" x14ac:dyDescent="0.25">
      <c r="A129" s="20" t="s">
        <v>213</v>
      </c>
      <c r="B129" s="21" t="s">
        <v>211</v>
      </c>
      <c r="C129" s="22">
        <v>5</v>
      </c>
      <c r="D129" s="22">
        <v>10</v>
      </c>
      <c r="E129" s="23">
        <f>5815*C129</f>
        <v>29075</v>
      </c>
      <c r="F129" s="22"/>
      <c r="G129" s="23">
        <f t="shared" si="52"/>
        <v>29075</v>
      </c>
      <c r="H129" s="23"/>
      <c r="I129" s="23">
        <f>G129*0.1</f>
        <v>2907.5</v>
      </c>
      <c r="J129" s="23"/>
      <c r="K129" s="23">
        <f t="shared" si="55"/>
        <v>8722.5</v>
      </c>
      <c r="L129" s="23">
        <f>13500*C129-G129-I129-K129</f>
        <v>26795</v>
      </c>
      <c r="M129" s="23"/>
      <c r="N129" s="23"/>
      <c r="O129" s="23"/>
      <c r="P129" s="23"/>
      <c r="Q129" s="23"/>
      <c r="R129" s="23">
        <f>G129+I129+K129+L129</f>
        <v>67500</v>
      </c>
      <c r="S129" s="25">
        <f t="shared" si="54"/>
        <v>810000</v>
      </c>
      <c r="T129" s="53"/>
    </row>
    <row r="130" spans="1:20" s="13" customFormat="1" x14ac:dyDescent="0.25">
      <c r="A130" s="20" t="s">
        <v>214</v>
      </c>
      <c r="B130" s="21" t="s">
        <v>91</v>
      </c>
      <c r="C130" s="22">
        <v>1</v>
      </c>
      <c r="D130" s="22">
        <v>10</v>
      </c>
      <c r="E130" s="23">
        <v>5815</v>
      </c>
      <c r="F130" s="22"/>
      <c r="G130" s="23">
        <f t="shared" si="52"/>
        <v>5815</v>
      </c>
      <c r="H130" s="23"/>
      <c r="I130" s="23"/>
      <c r="J130" s="23"/>
      <c r="K130" s="23">
        <f t="shared" si="55"/>
        <v>1744.5</v>
      </c>
      <c r="L130" s="23">
        <f t="shared" ref="L130:L131" si="57">13500-G130-K130</f>
        <v>5940.5</v>
      </c>
      <c r="M130" s="23"/>
      <c r="N130" s="23"/>
      <c r="O130" s="23"/>
      <c r="P130" s="23"/>
      <c r="Q130" s="23"/>
      <c r="R130" s="23">
        <f t="shared" ref="R130:R131" si="58">G130+K130+L130</f>
        <v>13500</v>
      </c>
      <c r="S130" s="25">
        <f t="shared" si="54"/>
        <v>162000</v>
      </c>
    </row>
    <row r="131" spans="1:20" x14ac:dyDescent="0.25">
      <c r="A131" s="20" t="s">
        <v>216</v>
      </c>
      <c r="B131" s="21" t="s">
        <v>215</v>
      </c>
      <c r="C131" s="22">
        <v>1</v>
      </c>
      <c r="D131" s="22">
        <v>10</v>
      </c>
      <c r="E131" s="23">
        <v>5815</v>
      </c>
      <c r="F131" s="22"/>
      <c r="G131" s="23">
        <f t="shared" si="52"/>
        <v>5815</v>
      </c>
      <c r="H131" s="23"/>
      <c r="I131" s="23"/>
      <c r="J131" s="23"/>
      <c r="K131" s="23">
        <f>G131*0.3</f>
        <v>1744.5</v>
      </c>
      <c r="L131" s="23">
        <f t="shared" si="57"/>
        <v>5940.5</v>
      </c>
      <c r="M131" s="23"/>
      <c r="N131" s="23"/>
      <c r="O131" s="23"/>
      <c r="P131" s="23"/>
      <c r="Q131" s="23"/>
      <c r="R131" s="23">
        <f t="shared" si="58"/>
        <v>13500</v>
      </c>
      <c r="S131" s="25">
        <f t="shared" si="54"/>
        <v>162000</v>
      </c>
    </row>
    <row r="132" spans="1:20" x14ac:dyDescent="0.25">
      <c r="A132" s="20" t="s">
        <v>218</v>
      </c>
      <c r="B132" s="21" t="s">
        <v>134</v>
      </c>
      <c r="C132" s="22">
        <v>2</v>
      </c>
      <c r="D132" s="22">
        <v>3</v>
      </c>
      <c r="E132" s="23">
        <f>3770*C132</f>
        <v>7540</v>
      </c>
      <c r="F132" s="22"/>
      <c r="G132" s="23">
        <f t="shared" si="52"/>
        <v>7540</v>
      </c>
      <c r="H132" s="23"/>
      <c r="I132" s="23">
        <f>G132*0.1</f>
        <v>754</v>
      </c>
      <c r="J132" s="23"/>
      <c r="K132" s="23"/>
      <c r="L132" s="23"/>
      <c r="M132" s="23"/>
      <c r="N132" s="23"/>
      <c r="O132" s="23"/>
      <c r="P132" s="23">
        <f>8000*C132-G132</f>
        <v>8460</v>
      </c>
      <c r="Q132" s="23"/>
      <c r="R132" s="23">
        <f>SUM(G132:Q132)</f>
        <v>16754</v>
      </c>
      <c r="S132" s="25">
        <f t="shared" si="54"/>
        <v>201048</v>
      </c>
    </row>
    <row r="133" spans="1:20" s="27" customFormat="1" ht="20.399999999999999" customHeight="1" thickBot="1" x14ac:dyDescent="0.3">
      <c r="A133" s="64"/>
      <c r="B133" s="47" t="s">
        <v>59</v>
      </c>
      <c r="C133" s="34">
        <f>SUM(C122:C132)</f>
        <v>17.5</v>
      </c>
      <c r="D133" s="34"/>
      <c r="E133" s="35">
        <f>SUM(E122:E132)</f>
        <v>110403</v>
      </c>
      <c r="F133" s="34">
        <f>SUM(F122:F132)</f>
        <v>2032.1000000000001</v>
      </c>
      <c r="G133" s="35">
        <f>SUM(G122:G132)</f>
        <v>112435.1</v>
      </c>
      <c r="H133" s="35"/>
      <c r="I133" s="35">
        <f>SUM(I122:I132)</f>
        <v>3661.5</v>
      </c>
      <c r="J133" s="35"/>
      <c r="K133" s="35">
        <f>SUM(K122:K132)</f>
        <v>31468.530000000002</v>
      </c>
      <c r="L133" s="35">
        <f>SUM(L122:L132)</f>
        <v>118728.87000000001</v>
      </c>
      <c r="M133" s="35">
        <f>SUM(M132:M132)</f>
        <v>0</v>
      </c>
      <c r="N133" s="35"/>
      <c r="O133" s="35">
        <f>SUM(O127:O132)</f>
        <v>0</v>
      </c>
      <c r="P133" s="35">
        <f>SUM(P132:P132)</f>
        <v>8460</v>
      </c>
      <c r="Q133" s="35"/>
      <c r="R133" s="35">
        <f>SUM(R122:R132)</f>
        <v>274754</v>
      </c>
      <c r="S133" s="36">
        <f>SUM(S122:S132)</f>
        <v>3297048</v>
      </c>
    </row>
    <row r="134" spans="1:20" ht="22.8" x14ac:dyDescent="0.25">
      <c r="A134" s="15"/>
      <c r="B134" s="55" t="s">
        <v>217</v>
      </c>
      <c r="C134" s="85"/>
      <c r="D134" s="85"/>
      <c r="E134" s="94"/>
      <c r="F134" s="85"/>
      <c r="G134" s="94"/>
      <c r="H134" s="94"/>
      <c r="I134" s="94"/>
      <c r="J134" s="94"/>
      <c r="K134" s="94"/>
      <c r="L134" s="94"/>
      <c r="M134" s="94"/>
      <c r="N134" s="94"/>
      <c r="O134" s="94"/>
      <c r="P134" s="94"/>
      <c r="Q134" s="94"/>
      <c r="R134" s="94"/>
      <c r="S134" s="110"/>
    </row>
    <row r="135" spans="1:20" x14ac:dyDescent="0.25">
      <c r="A135" s="20" t="s">
        <v>221</v>
      </c>
      <c r="B135" s="21" t="s">
        <v>219</v>
      </c>
      <c r="C135" s="22">
        <v>6</v>
      </c>
      <c r="D135" s="22">
        <v>10</v>
      </c>
      <c r="E135" s="23">
        <f>5815*C135</f>
        <v>34890</v>
      </c>
      <c r="F135" s="22"/>
      <c r="G135" s="23">
        <f t="shared" ref="G135:G136" si="59">E135+F135</f>
        <v>34890</v>
      </c>
      <c r="H135" s="23"/>
      <c r="I135" s="23"/>
      <c r="J135" s="23"/>
      <c r="K135" s="23">
        <f t="shared" ref="K135" si="60">G135*0.3</f>
        <v>10467</v>
      </c>
      <c r="L135" s="23">
        <f>13500*C135-G135-K135-N135</f>
        <v>31556.22</v>
      </c>
      <c r="M135" s="23"/>
      <c r="N135" s="23">
        <f>681.13*C135</f>
        <v>4086.7799999999997</v>
      </c>
      <c r="O135" s="23"/>
      <c r="P135" s="23"/>
      <c r="Q135" s="23"/>
      <c r="R135" s="23">
        <f t="shared" ref="R135" si="61">G135+K135+L135+N135</f>
        <v>81000</v>
      </c>
      <c r="S135" s="25">
        <f t="shared" ref="S135:S136" si="62">R135*12</f>
        <v>972000</v>
      </c>
    </row>
    <row r="136" spans="1:20" x14ac:dyDescent="0.25">
      <c r="A136" s="20" t="s">
        <v>223</v>
      </c>
      <c r="B136" s="21" t="s">
        <v>78</v>
      </c>
      <c r="C136" s="22">
        <v>5</v>
      </c>
      <c r="D136" s="22">
        <v>4</v>
      </c>
      <c r="E136" s="23">
        <f>4058*C136</f>
        <v>20290</v>
      </c>
      <c r="F136" s="22"/>
      <c r="G136" s="23">
        <f t="shared" si="59"/>
        <v>20290</v>
      </c>
      <c r="H136" s="23"/>
      <c r="I136" s="23"/>
      <c r="J136" s="23"/>
      <c r="K136" s="23"/>
      <c r="L136" s="23"/>
      <c r="M136" s="23"/>
      <c r="N136" s="23">
        <f>475.33*C136</f>
        <v>2376.65</v>
      </c>
      <c r="O136" s="23"/>
      <c r="P136" s="23">
        <f>8000*C136-G136</f>
        <v>19710</v>
      </c>
      <c r="Q136" s="23"/>
      <c r="R136" s="23">
        <f>E136+P136+N136</f>
        <v>42376.65</v>
      </c>
      <c r="S136" s="25">
        <f t="shared" si="62"/>
        <v>508519.80000000005</v>
      </c>
    </row>
    <row r="137" spans="1:20" s="27" customFormat="1" ht="22.2" customHeight="1" thickBot="1" x14ac:dyDescent="0.3">
      <c r="A137" s="64"/>
      <c r="B137" s="47" t="s">
        <v>59</v>
      </c>
      <c r="C137" s="34">
        <f>SUM(C135:C136)</f>
        <v>11</v>
      </c>
      <c r="D137" s="34"/>
      <c r="E137" s="35">
        <f>SUM(E135:E136)</f>
        <v>55180</v>
      </c>
      <c r="F137" s="34"/>
      <c r="G137" s="35">
        <f>SUM(G135:G136)</f>
        <v>55180</v>
      </c>
      <c r="H137" s="35"/>
      <c r="I137" s="35"/>
      <c r="J137" s="35"/>
      <c r="K137" s="35">
        <f>SUM(K135:K136)</f>
        <v>10467</v>
      </c>
      <c r="L137" s="35">
        <f>SUM(L135:L136)</f>
        <v>31556.22</v>
      </c>
      <c r="M137" s="35"/>
      <c r="N137" s="35">
        <f>SUM(N135:N136)</f>
        <v>6463.43</v>
      </c>
      <c r="O137" s="35"/>
      <c r="P137" s="35">
        <f>SUM(P135:P136)</f>
        <v>19710</v>
      </c>
      <c r="Q137" s="35"/>
      <c r="R137" s="35">
        <f>SUM(R135:R136)</f>
        <v>123376.65</v>
      </c>
      <c r="S137" s="36">
        <f>SUM(S135:S136)</f>
        <v>1480519.8</v>
      </c>
    </row>
    <row r="138" spans="1:20" ht="29.4" customHeight="1" x14ac:dyDescent="0.25">
      <c r="A138" s="15"/>
      <c r="B138" s="55" t="s">
        <v>222</v>
      </c>
      <c r="C138" s="85"/>
      <c r="D138" s="85"/>
      <c r="E138" s="94"/>
      <c r="F138" s="85"/>
      <c r="G138" s="94"/>
      <c r="H138" s="94"/>
      <c r="I138" s="94"/>
      <c r="J138" s="94"/>
      <c r="K138" s="94"/>
      <c r="L138" s="94"/>
      <c r="M138" s="94"/>
      <c r="N138" s="94"/>
      <c r="O138" s="94"/>
      <c r="P138" s="94"/>
      <c r="Q138" s="94"/>
      <c r="R138" s="94"/>
      <c r="S138" s="110"/>
    </row>
    <row r="139" spans="1:20" x14ac:dyDescent="0.25">
      <c r="A139" s="20" t="s">
        <v>224</v>
      </c>
      <c r="B139" s="21" t="s">
        <v>206</v>
      </c>
      <c r="C139" s="22">
        <v>1</v>
      </c>
      <c r="D139" s="22">
        <v>12</v>
      </c>
      <c r="E139" s="23">
        <f>6773*C139</f>
        <v>6773</v>
      </c>
      <c r="F139" s="22">
        <f>E139*0.1</f>
        <v>677.30000000000007</v>
      </c>
      <c r="G139" s="23">
        <f t="shared" ref="G139:G144" si="63">E139+F139</f>
        <v>7450.3</v>
      </c>
      <c r="H139" s="23"/>
      <c r="I139" s="23"/>
      <c r="J139" s="23"/>
      <c r="K139" s="23">
        <f>G139*0.3</f>
        <v>2235.09</v>
      </c>
      <c r="L139" s="23">
        <f>20000*C139-G139-K139</f>
        <v>10314.61</v>
      </c>
      <c r="M139" s="23"/>
      <c r="N139" s="23"/>
      <c r="O139" s="23"/>
      <c r="P139" s="23"/>
      <c r="Q139" s="23"/>
      <c r="R139" s="23">
        <f>G139+K139+L139</f>
        <v>20000</v>
      </c>
      <c r="S139" s="25">
        <f>R139*12</f>
        <v>240000</v>
      </c>
    </row>
    <row r="140" spans="1:20" x14ac:dyDescent="0.25">
      <c r="A140" s="20" t="s">
        <v>225</v>
      </c>
      <c r="B140" s="21" t="s">
        <v>91</v>
      </c>
      <c r="C140" s="22">
        <v>1</v>
      </c>
      <c r="D140" s="22">
        <v>7</v>
      </c>
      <c r="E140" s="23">
        <v>4920</v>
      </c>
      <c r="F140" s="22"/>
      <c r="G140" s="23">
        <f t="shared" si="63"/>
        <v>4920</v>
      </c>
      <c r="H140" s="23"/>
      <c r="I140" s="23"/>
      <c r="J140" s="23"/>
      <c r="K140" s="23">
        <f>G140*0.3</f>
        <v>1476</v>
      </c>
      <c r="L140" s="23">
        <f>13500-G140-K140</f>
        <v>7104</v>
      </c>
      <c r="M140" s="23"/>
      <c r="N140" s="23"/>
      <c r="O140" s="23"/>
      <c r="P140" s="23"/>
      <c r="Q140" s="23"/>
      <c r="R140" s="23">
        <f>G140+K140+L140</f>
        <v>13500</v>
      </c>
      <c r="S140" s="25">
        <f t="shared" ref="S140:S143" si="64">R140*12</f>
        <v>162000</v>
      </c>
    </row>
    <row r="141" spans="1:20" x14ac:dyDescent="0.25">
      <c r="A141" s="20" t="s">
        <v>226</v>
      </c>
      <c r="B141" s="21" t="s">
        <v>134</v>
      </c>
      <c r="C141" s="22">
        <v>1</v>
      </c>
      <c r="D141" s="22">
        <v>3</v>
      </c>
      <c r="E141" s="23">
        <v>3770</v>
      </c>
      <c r="F141" s="22"/>
      <c r="G141" s="23">
        <f t="shared" si="63"/>
        <v>3770</v>
      </c>
      <c r="H141" s="23"/>
      <c r="I141" s="23">
        <f>G141*0.1</f>
        <v>377</v>
      </c>
      <c r="J141" s="23"/>
      <c r="K141" s="23"/>
      <c r="L141" s="23"/>
      <c r="M141" s="23"/>
      <c r="N141" s="23"/>
      <c r="O141" s="23"/>
      <c r="P141" s="23">
        <f>8000-G141</f>
        <v>4230</v>
      </c>
      <c r="Q141" s="23"/>
      <c r="R141" s="23">
        <f>SUM(G141:Q141)</f>
        <v>8377</v>
      </c>
      <c r="S141" s="25">
        <f t="shared" si="64"/>
        <v>100524</v>
      </c>
    </row>
    <row r="142" spans="1:20" x14ac:dyDescent="0.25">
      <c r="A142" s="20" t="s">
        <v>228</v>
      </c>
      <c r="B142" s="21" t="s">
        <v>227</v>
      </c>
      <c r="C142" s="22">
        <v>2</v>
      </c>
      <c r="D142" s="22">
        <v>1</v>
      </c>
      <c r="E142" s="23">
        <f>3195*C142</f>
        <v>6390</v>
      </c>
      <c r="F142" s="22"/>
      <c r="G142" s="23">
        <f t="shared" si="63"/>
        <v>6390</v>
      </c>
      <c r="H142" s="23"/>
      <c r="I142" s="23"/>
      <c r="J142" s="23"/>
      <c r="K142" s="23"/>
      <c r="L142" s="23"/>
      <c r="M142" s="23"/>
      <c r="N142" s="23"/>
      <c r="O142" s="23"/>
      <c r="P142" s="23">
        <f>8000*C142-G142</f>
        <v>9610</v>
      </c>
      <c r="Q142" s="23"/>
      <c r="R142" s="23">
        <f>SUM(G142:Q142)</f>
        <v>16000</v>
      </c>
      <c r="S142" s="25">
        <f>R142*6</f>
        <v>96000</v>
      </c>
    </row>
    <row r="143" spans="1:20" s="38" customFormat="1" x14ac:dyDescent="0.25">
      <c r="A143" s="20" t="s">
        <v>231</v>
      </c>
      <c r="B143" s="21" t="s">
        <v>229</v>
      </c>
      <c r="C143" s="22">
        <v>0.5</v>
      </c>
      <c r="D143" s="22">
        <v>1</v>
      </c>
      <c r="E143" s="23">
        <v>1597.5</v>
      </c>
      <c r="F143" s="22"/>
      <c r="G143" s="23">
        <f t="shared" si="63"/>
        <v>1597.5</v>
      </c>
      <c r="H143" s="23"/>
      <c r="I143" s="23"/>
      <c r="J143" s="23"/>
      <c r="K143" s="23"/>
      <c r="L143" s="23"/>
      <c r="M143" s="23"/>
      <c r="N143" s="23"/>
      <c r="O143" s="23"/>
      <c r="P143" s="23">
        <f>4000-G143</f>
        <v>2402.5</v>
      </c>
      <c r="Q143" s="23"/>
      <c r="R143" s="23">
        <f>SUM(G143:Q143)</f>
        <v>4000</v>
      </c>
      <c r="S143" s="25">
        <f t="shared" si="64"/>
        <v>48000</v>
      </c>
    </row>
    <row r="144" spans="1:20" s="27" customFormat="1" ht="22.2" customHeight="1" thickBot="1" x14ac:dyDescent="0.3">
      <c r="A144" s="64"/>
      <c r="B144" s="47" t="s">
        <v>59</v>
      </c>
      <c r="C144" s="34">
        <f>SUM(C139:C143)</f>
        <v>5.5</v>
      </c>
      <c r="D144" s="34"/>
      <c r="E144" s="35">
        <f>SUM(E139:E143)</f>
        <v>23450.5</v>
      </c>
      <c r="F144" s="34">
        <f>SUM(F139:F143)</f>
        <v>677.30000000000007</v>
      </c>
      <c r="G144" s="35">
        <f t="shared" si="63"/>
        <v>24127.8</v>
      </c>
      <c r="H144" s="35"/>
      <c r="I144" s="35">
        <f>SUM(I141:I143)</f>
        <v>377</v>
      </c>
      <c r="J144" s="35"/>
      <c r="K144" s="35">
        <f>SUM(K139:K143)</f>
        <v>3711.09</v>
      </c>
      <c r="L144" s="35">
        <f>SUM(L139:L143)</f>
        <v>17418.61</v>
      </c>
      <c r="M144" s="35"/>
      <c r="N144" s="35"/>
      <c r="O144" s="35"/>
      <c r="P144" s="35">
        <f>SUM(P139:P143)</f>
        <v>16242.5</v>
      </c>
      <c r="Q144" s="35"/>
      <c r="R144" s="35">
        <f>SUM(R139:R143)</f>
        <v>61877</v>
      </c>
      <c r="S144" s="36">
        <f>SUM(S139:S143)</f>
        <v>646524</v>
      </c>
    </row>
    <row r="145" spans="1:20" ht="20.399999999999999" customHeight="1" x14ac:dyDescent="0.25">
      <c r="A145" s="15"/>
      <c r="B145" s="55" t="s">
        <v>230</v>
      </c>
      <c r="C145" s="85"/>
      <c r="D145" s="85"/>
      <c r="E145" s="94"/>
      <c r="F145" s="85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110"/>
    </row>
    <row r="146" spans="1:20" x14ac:dyDescent="0.25">
      <c r="A146" s="20" t="s">
        <v>233</v>
      </c>
      <c r="B146" s="21" t="s">
        <v>232</v>
      </c>
      <c r="C146" s="22">
        <v>1.25</v>
      </c>
      <c r="D146" s="22">
        <v>13</v>
      </c>
      <c r="E146" s="23">
        <f>7253*C146</f>
        <v>9066.25</v>
      </c>
      <c r="F146" s="22">
        <f>E146*0.1</f>
        <v>906.625</v>
      </c>
      <c r="G146" s="23">
        <f t="shared" ref="G146:G150" si="65">E146+F146</f>
        <v>9972.875</v>
      </c>
      <c r="H146" s="23"/>
      <c r="I146" s="23"/>
      <c r="J146" s="23"/>
      <c r="K146" s="23">
        <f>G146*0.3</f>
        <v>2991.8624999999997</v>
      </c>
      <c r="L146" s="23">
        <f>20000*C146-G146-K146</f>
        <v>12035.262500000001</v>
      </c>
      <c r="M146" s="23"/>
      <c r="N146" s="23"/>
      <c r="O146" s="23"/>
      <c r="P146" s="23"/>
      <c r="Q146" s="23"/>
      <c r="R146" s="23">
        <f>G146+K146+L146+O146</f>
        <v>25000</v>
      </c>
      <c r="S146" s="25">
        <f>R146*12</f>
        <v>300000</v>
      </c>
    </row>
    <row r="147" spans="1:20" x14ac:dyDescent="0.25">
      <c r="A147" s="20" t="s">
        <v>234</v>
      </c>
      <c r="B147" s="21" t="s">
        <v>212</v>
      </c>
      <c r="C147" s="22">
        <v>2</v>
      </c>
      <c r="D147" s="22">
        <v>10</v>
      </c>
      <c r="E147" s="23">
        <f>5815*C147</f>
        <v>11630</v>
      </c>
      <c r="F147" s="22"/>
      <c r="G147" s="23">
        <f t="shared" si="65"/>
        <v>11630</v>
      </c>
      <c r="H147" s="23"/>
      <c r="I147" s="23"/>
      <c r="J147" s="23"/>
      <c r="K147" s="23">
        <f t="shared" ref="K147:K148" si="66">G147*0.3</f>
        <v>3489</v>
      </c>
      <c r="L147" s="23">
        <f>13500*C147-G147-K147</f>
        <v>11881</v>
      </c>
      <c r="M147" s="23"/>
      <c r="N147" s="23"/>
      <c r="O147" s="23"/>
      <c r="P147" s="23"/>
      <c r="Q147" s="23"/>
      <c r="R147" s="23">
        <f>G147+K147+L147</f>
        <v>27000</v>
      </c>
      <c r="S147" s="25">
        <f t="shared" ref="S147:S149" si="67">R147*12</f>
        <v>324000</v>
      </c>
    </row>
    <row r="148" spans="1:20" s="13" customFormat="1" x14ac:dyDescent="0.25">
      <c r="A148" s="20" t="s">
        <v>236</v>
      </c>
      <c r="B148" s="21" t="s">
        <v>235</v>
      </c>
      <c r="C148" s="22">
        <v>1</v>
      </c>
      <c r="D148" s="22">
        <v>7</v>
      </c>
      <c r="E148" s="23">
        <v>4920</v>
      </c>
      <c r="F148" s="22"/>
      <c r="G148" s="23">
        <f t="shared" si="65"/>
        <v>4920</v>
      </c>
      <c r="H148" s="23"/>
      <c r="I148" s="23"/>
      <c r="J148" s="23"/>
      <c r="K148" s="23">
        <f t="shared" si="66"/>
        <v>1476</v>
      </c>
      <c r="L148" s="23">
        <f>13500-G148-K148</f>
        <v>7104</v>
      </c>
      <c r="M148" s="23"/>
      <c r="N148" s="23"/>
      <c r="O148" s="23"/>
      <c r="P148" s="23"/>
      <c r="Q148" s="23"/>
      <c r="R148" s="23">
        <f>G148+L148+K148</f>
        <v>13500</v>
      </c>
      <c r="S148" s="25">
        <f t="shared" si="67"/>
        <v>162000</v>
      </c>
    </row>
    <row r="149" spans="1:20" s="38" customFormat="1" x14ac:dyDescent="0.25">
      <c r="A149" s="20" t="s">
        <v>238</v>
      </c>
      <c r="B149" s="21" t="s">
        <v>134</v>
      </c>
      <c r="C149" s="22">
        <v>1</v>
      </c>
      <c r="D149" s="22">
        <v>3</v>
      </c>
      <c r="E149" s="23">
        <v>3770</v>
      </c>
      <c r="F149" s="22"/>
      <c r="G149" s="23">
        <f t="shared" si="65"/>
        <v>3770</v>
      </c>
      <c r="H149" s="23"/>
      <c r="I149" s="23">
        <f>G149*0.1</f>
        <v>377</v>
      </c>
      <c r="J149" s="23"/>
      <c r="K149" s="23"/>
      <c r="L149" s="23"/>
      <c r="M149" s="23"/>
      <c r="N149" s="23"/>
      <c r="O149" s="23"/>
      <c r="P149" s="23">
        <f>8000-G149</f>
        <v>4230</v>
      </c>
      <c r="Q149" s="23"/>
      <c r="R149" s="23">
        <f>G149+I149+P149</f>
        <v>8377</v>
      </c>
      <c r="S149" s="25">
        <f t="shared" si="67"/>
        <v>100524</v>
      </c>
      <c r="T149" s="46"/>
    </row>
    <row r="150" spans="1:20" s="27" customFormat="1" ht="22.2" customHeight="1" thickBot="1" x14ac:dyDescent="0.3">
      <c r="A150" s="64"/>
      <c r="B150" s="47" t="s">
        <v>59</v>
      </c>
      <c r="C150" s="34">
        <f>SUM(C146:C149)</f>
        <v>5.25</v>
      </c>
      <c r="D150" s="34"/>
      <c r="E150" s="35">
        <f>SUM(E146:E149)</f>
        <v>29386.25</v>
      </c>
      <c r="F150" s="34">
        <f>SUM(F146:F149)</f>
        <v>906.625</v>
      </c>
      <c r="G150" s="35">
        <f t="shared" si="65"/>
        <v>30292.875</v>
      </c>
      <c r="H150" s="35"/>
      <c r="I150" s="35">
        <f>SUM(I149)</f>
        <v>377</v>
      </c>
      <c r="J150" s="35"/>
      <c r="K150" s="35">
        <f>SUM(K146:K149)</f>
        <v>7956.8624999999993</v>
      </c>
      <c r="L150" s="35">
        <f>SUM(L146:L149)</f>
        <v>31020.262500000001</v>
      </c>
      <c r="M150" s="35">
        <f>SUM(M146:M148)</f>
        <v>0</v>
      </c>
      <c r="N150" s="35"/>
      <c r="O150" s="35">
        <f>SUM(O146:O149)</f>
        <v>0</v>
      </c>
      <c r="P150" s="35">
        <f>SUM(P149)</f>
        <v>4230</v>
      </c>
      <c r="Q150" s="35"/>
      <c r="R150" s="35">
        <f>SUM(R146:R149)</f>
        <v>73877</v>
      </c>
      <c r="S150" s="36">
        <f>SUM(S146:S149)</f>
        <v>886524</v>
      </c>
    </row>
    <row r="151" spans="1:20" ht="19.8" customHeight="1" x14ac:dyDescent="0.25">
      <c r="A151" s="15"/>
      <c r="B151" s="55" t="s">
        <v>237</v>
      </c>
      <c r="C151" s="85"/>
      <c r="D151" s="85"/>
      <c r="E151" s="94"/>
      <c r="F151" s="85"/>
      <c r="G151" s="94"/>
      <c r="H151" s="94"/>
      <c r="I151" s="94"/>
      <c r="J151" s="94"/>
      <c r="K151" s="94"/>
      <c r="L151" s="94"/>
      <c r="M151" s="94"/>
      <c r="N151" s="94"/>
      <c r="O151" s="94"/>
      <c r="P151" s="94"/>
      <c r="Q151" s="94"/>
      <c r="R151" s="94"/>
      <c r="S151" s="110"/>
    </row>
    <row r="152" spans="1:20" x14ac:dyDescent="0.25">
      <c r="A152" s="20" t="s">
        <v>239</v>
      </c>
      <c r="B152" s="21" t="s">
        <v>206</v>
      </c>
      <c r="C152" s="22">
        <v>2</v>
      </c>
      <c r="D152" s="22">
        <v>11</v>
      </c>
      <c r="E152" s="23">
        <f>6294*C152</f>
        <v>12588</v>
      </c>
      <c r="F152" s="22">
        <f>E152*0.1</f>
        <v>1258.8000000000002</v>
      </c>
      <c r="G152" s="23">
        <f t="shared" ref="G152:G157" si="68">E152+F152</f>
        <v>13846.8</v>
      </c>
      <c r="H152" s="23"/>
      <c r="I152" s="23"/>
      <c r="J152" s="23"/>
      <c r="K152" s="23">
        <f>G152*0.3</f>
        <v>4154.04</v>
      </c>
      <c r="L152" s="23">
        <f>20000*C152-G152-K152</f>
        <v>21999.16</v>
      </c>
      <c r="M152" s="23"/>
      <c r="N152" s="23"/>
      <c r="O152" s="23"/>
      <c r="P152" s="23"/>
      <c r="Q152" s="23"/>
      <c r="R152" s="23">
        <f>SUM(G152:Q152)</f>
        <v>40000</v>
      </c>
      <c r="S152" s="25">
        <f>R152*12</f>
        <v>480000</v>
      </c>
    </row>
    <row r="153" spans="1:20" x14ac:dyDescent="0.25">
      <c r="A153" s="20" t="s">
        <v>240</v>
      </c>
      <c r="B153" s="21" t="s">
        <v>241</v>
      </c>
      <c r="C153" s="22">
        <v>2</v>
      </c>
      <c r="D153" s="22">
        <v>10</v>
      </c>
      <c r="E153" s="23">
        <f>5815*C153</f>
        <v>11630</v>
      </c>
      <c r="F153" s="22"/>
      <c r="G153" s="23">
        <f t="shared" si="68"/>
        <v>11630</v>
      </c>
      <c r="H153" s="23"/>
      <c r="I153" s="23"/>
      <c r="J153" s="23"/>
      <c r="K153" s="23">
        <f t="shared" ref="K153:K154" si="69">G153*0.3</f>
        <v>3489</v>
      </c>
      <c r="L153" s="23">
        <f>13500*C153-G153-K153</f>
        <v>11881</v>
      </c>
      <c r="M153" s="23"/>
      <c r="N153" s="23"/>
      <c r="O153" s="23"/>
      <c r="P153" s="23"/>
      <c r="Q153" s="23"/>
      <c r="R153" s="23">
        <f>G153+K153+L153</f>
        <v>27000</v>
      </c>
      <c r="S153" s="25">
        <f t="shared" ref="S153:S156" si="70">R153*12</f>
        <v>324000</v>
      </c>
    </row>
    <row r="154" spans="1:20" s="13" customFormat="1" x14ac:dyDescent="0.25">
      <c r="A154" s="20" t="s">
        <v>242</v>
      </c>
      <c r="B154" s="21" t="s">
        <v>91</v>
      </c>
      <c r="C154" s="22">
        <v>2</v>
      </c>
      <c r="D154" s="22">
        <v>9</v>
      </c>
      <c r="E154" s="23">
        <f>5527*C154</f>
        <v>11054</v>
      </c>
      <c r="F154" s="22"/>
      <c r="G154" s="23">
        <f t="shared" si="68"/>
        <v>11054</v>
      </c>
      <c r="H154" s="23"/>
      <c r="I154" s="23"/>
      <c r="J154" s="23"/>
      <c r="K154" s="23">
        <f t="shared" si="69"/>
        <v>3316.2</v>
      </c>
      <c r="L154" s="23">
        <f>13500*C154-G154-K154</f>
        <v>12629.8</v>
      </c>
      <c r="M154" s="23"/>
      <c r="N154" s="23"/>
      <c r="O154" s="23"/>
      <c r="P154" s="23"/>
      <c r="Q154" s="23"/>
      <c r="R154" s="23">
        <f>G154+K154+L154</f>
        <v>27000</v>
      </c>
      <c r="S154" s="25">
        <f t="shared" si="70"/>
        <v>324000</v>
      </c>
    </row>
    <row r="155" spans="1:20" x14ac:dyDescent="0.25">
      <c r="A155" s="20" t="s">
        <v>243</v>
      </c>
      <c r="B155" s="21" t="s">
        <v>134</v>
      </c>
      <c r="C155" s="22">
        <v>1</v>
      </c>
      <c r="D155" s="22">
        <v>3</v>
      </c>
      <c r="E155" s="23">
        <v>3770</v>
      </c>
      <c r="F155" s="22"/>
      <c r="G155" s="23">
        <f t="shared" si="68"/>
        <v>3770</v>
      </c>
      <c r="H155" s="23"/>
      <c r="I155" s="23">
        <f>G155*0.1</f>
        <v>377</v>
      </c>
      <c r="J155" s="23"/>
      <c r="K155" s="23"/>
      <c r="L155" s="23"/>
      <c r="M155" s="23"/>
      <c r="N155" s="23"/>
      <c r="O155" s="23"/>
      <c r="P155" s="23">
        <f>8000-G155</f>
        <v>4230</v>
      </c>
      <c r="Q155" s="23"/>
      <c r="R155" s="23">
        <f>SUM(G155:Q155)</f>
        <v>8377</v>
      </c>
      <c r="S155" s="25">
        <f t="shared" si="70"/>
        <v>100524</v>
      </c>
    </row>
    <row r="156" spans="1:20" s="38" customFormat="1" x14ac:dyDescent="0.25">
      <c r="A156" s="20" t="s">
        <v>244</v>
      </c>
      <c r="B156" s="21" t="s">
        <v>245</v>
      </c>
      <c r="C156" s="22">
        <v>1</v>
      </c>
      <c r="D156" s="22">
        <v>5</v>
      </c>
      <c r="E156" s="23">
        <v>4345</v>
      </c>
      <c r="F156" s="22"/>
      <c r="G156" s="23">
        <f t="shared" si="68"/>
        <v>4345</v>
      </c>
      <c r="H156" s="23"/>
      <c r="I156" s="23"/>
      <c r="J156" s="23"/>
      <c r="K156" s="23"/>
      <c r="L156" s="23"/>
      <c r="M156" s="23"/>
      <c r="N156" s="23"/>
      <c r="O156" s="23"/>
      <c r="P156" s="23">
        <f>8000-G156</f>
        <v>3655</v>
      </c>
      <c r="Q156" s="23"/>
      <c r="R156" s="23">
        <f>G156+P156</f>
        <v>8000</v>
      </c>
      <c r="S156" s="25">
        <f t="shared" si="70"/>
        <v>96000</v>
      </c>
    </row>
    <row r="157" spans="1:20" s="27" customFormat="1" ht="24.6" customHeight="1" thickBot="1" x14ac:dyDescent="0.3">
      <c r="A157" s="64"/>
      <c r="B157" s="47" t="s">
        <v>59</v>
      </c>
      <c r="C157" s="34">
        <f>SUM(C152:C156)</f>
        <v>8</v>
      </c>
      <c r="D157" s="34"/>
      <c r="E157" s="35">
        <f>SUM(E152:E156)</f>
        <v>43387</v>
      </c>
      <c r="F157" s="34">
        <f>SUM(F152:F156)</f>
        <v>1258.8000000000002</v>
      </c>
      <c r="G157" s="35">
        <f t="shared" si="68"/>
        <v>44645.8</v>
      </c>
      <c r="H157" s="35"/>
      <c r="I157" s="35">
        <f>SUM(I155:I156)</f>
        <v>377</v>
      </c>
      <c r="J157" s="35"/>
      <c r="K157" s="35">
        <f>SUM(K152:K156)</f>
        <v>10959.24</v>
      </c>
      <c r="L157" s="35">
        <f>SUM(L152:L156)</f>
        <v>46509.960000000006</v>
      </c>
      <c r="M157" s="35" t="e">
        <f>M152+#REF!</f>
        <v>#REF!</v>
      </c>
      <c r="N157" s="35"/>
      <c r="O157" s="35">
        <f>SUM(O152:O156)</f>
        <v>0</v>
      </c>
      <c r="P157" s="35">
        <f>SUM(P155:P156)</f>
        <v>7885</v>
      </c>
      <c r="Q157" s="35"/>
      <c r="R157" s="35">
        <f>SUM(R152:R156)</f>
        <v>110377</v>
      </c>
      <c r="S157" s="36">
        <f>SUM(S152:S156)</f>
        <v>1324524</v>
      </c>
    </row>
    <row r="158" spans="1:20" s="13" customFormat="1" ht="18" customHeight="1" x14ac:dyDescent="0.2">
      <c r="A158" s="18"/>
      <c r="B158" s="55" t="s">
        <v>246</v>
      </c>
      <c r="C158" s="85"/>
      <c r="D158" s="85"/>
      <c r="E158" s="94"/>
      <c r="F158" s="85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110"/>
    </row>
    <row r="159" spans="1:20" x14ac:dyDescent="0.25">
      <c r="A159" s="20" t="s">
        <v>247</v>
      </c>
      <c r="B159" s="21" t="s">
        <v>232</v>
      </c>
      <c r="C159" s="22">
        <v>1.25</v>
      </c>
      <c r="D159" s="22">
        <v>11</v>
      </c>
      <c r="E159" s="23">
        <f>6294*C159</f>
        <v>7867.5</v>
      </c>
      <c r="F159" s="22">
        <f>E159*0.1</f>
        <v>786.75</v>
      </c>
      <c r="G159" s="23">
        <f t="shared" ref="G159:G162" si="71">E159+F159</f>
        <v>8654.25</v>
      </c>
      <c r="H159" s="23"/>
      <c r="I159" s="23"/>
      <c r="J159" s="23"/>
      <c r="K159" s="23">
        <f>G159*0.3</f>
        <v>2596.2750000000001</v>
      </c>
      <c r="L159" s="23">
        <f>20000*C159-G159-K159</f>
        <v>13749.475</v>
      </c>
      <c r="M159" s="23"/>
      <c r="N159" s="23"/>
      <c r="O159" s="23"/>
      <c r="P159" s="23"/>
      <c r="Q159" s="23"/>
      <c r="R159" s="23">
        <f>G159+K159+L159+O159</f>
        <v>25000</v>
      </c>
      <c r="S159" s="25">
        <f>R159*12</f>
        <v>300000</v>
      </c>
      <c r="T159" s="53"/>
    </row>
    <row r="160" spans="1:20" x14ac:dyDescent="0.25">
      <c r="A160" s="20" t="s">
        <v>248</v>
      </c>
      <c r="B160" s="21" t="s">
        <v>235</v>
      </c>
      <c r="C160" s="22">
        <v>1</v>
      </c>
      <c r="D160" s="22">
        <v>10</v>
      </c>
      <c r="E160" s="23">
        <v>5815</v>
      </c>
      <c r="F160" s="22"/>
      <c r="G160" s="23">
        <f t="shared" si="71"/>
        <v>5815</v>
      </c>
      <c r="H160" s="23"/>
      <c r="I160" s="23"/>
      <c r="J160" s="23"/>
      <c r="K160" s="23">
        <f t="shared" ref="K160:K161" si="72">G160*0.3</f>
        <v>1744.5</v>
      </c>
      <c r="L160" s="23">
        <f>13500-G160-K160</f>
        <v>5940.5</v>
      </c>
      <c r="M160" s="23"/>
      <c r="N160" s="23"/>
      <c r="O160" s="23"/>
      <c r="P160" s="23"/>
      <c r="Q160" s="23"/>
      <c r="R160" s="23">
        <f>G160+K160+L160</f>
        <v>13500</v>
      </c>
      <c r="S160" s="25">
        <f t="shared" ref="S160:S163" si="73">R160*12</f>
        <v>162000</v>
      </c>
    </row>
    <row r="161" spans="1:20" x14ac:dyDescent="0.25">
      <c r="A161" s="20" t="s">
        <v>249</v>
      </c>
      <c r="B161" s="21" t="s">
        <v>91</v>
      </c>
      <c r="C161" s="22">
        <v>0.5</v>
      </c>
      <c r="D161" s="22">
        <v>10</v>
      </c>
      <c r="E161" s="23">
        <v>2907.5</v>
      </c>
      <c r="F161" s="22"/>
      <c r="G161" s="23">
        <f t="shared" si="71"/>
        <v>2907.5</v>
      </c>
      <c r="H161" s="23"/>
      <c r="I161" s="23"/>
      <c r="J161" s="23"/>
      <c r="K161" s="23">
        <f t="shared" si="72"/>
        <v>872.25</v>
      </c>
      <c r="L161" s="23">
        <f>13500/2-G161-K161</f>
        <v>2970.25</v>
      </c>
      <c r="M161" s="23"/>
      <c r="N161" s="23"/>
      <c r="O161" s="23"/>
      <c r="P161" s="23"/>
      <c r="Q161" s="23"/>
      <c r="R161" s="23">
        <f>G161+K161+L161</f>
        <v>6750</v>
      </c>
      <c r="S161" s="25">
        <f t="shared" si="73"/>
        <v>81000</v>
      </c>
    </row>
    <row r="162" spans="1:20" x14ac:dyDescent="0.25">
      <c r="A162" s="20" t="s">
        <v>250</v>
      </c>
      <c r="B162" s="21" t="s">
        <v>134</v>
      </c>
      <c r="C162" s="22">
        <v>0.5</v>
      </c>
      <c r="D162" s="22">
        <v>3</v>
      </c>
      <c r="E162" s="23">
        <v>1885</v>
      </c>
      <c r="F162" s="22"/>
      <c r="G162" s="23">
        <f t="shared" si="71"/>
        <v>1885</v>
      </c>
      <c r="H162" s="23"/>
      <c r="I162" s="23">
        <f>G162*0.1</f>
        <v>188.5</v>
      </c>
      <c r="J162" s="23"/>
      <c r="K162" s="23"/>
      <c r="L162" s="23"/>
      <c r="M162" s="23"/>
      <c r="N162" s="23"/>
      <c r="O162" s="23"/>
      <c r="P162" s="23">
        <f>8000/2-G162</f>
        <v>2115</v>
      </c>
      <c r="Q162" s="23"/>
      <c r="R162" s="23">
        <f>SUM(G162:Q162)</f>
        <v>4188.5</v>
      </c>
      <c r="S162" s="25">
        <f t="shared" si="73"/>
        <v>50262</v>
      </c>
    </row>
    <row r="163" spans="1:20" s="38" customFormat="1" x14ac:dyDescent="0.25">
      <c r="A163" s="20" t="s">
        <v>251</v>
      </c>
      <c r="B163" s="21" t="s">
        <v>229</v>
      </c>
      <c r="C163" s="22">
        <v>0.5</v>
      </c>
      <c r="D163" s="22">
        <v>1</v>
      </c>
      <c r="E163" s="23">
        <v>1597.5</v>
      </c>
      <c r="F163" s="22"/>
      <c r="G163" s="23">
        <f>E163+F163</f>
        <v>1597.5</v>
      </c>
      <c r="H163" s="23"/>
      <c r="I163" s="23"/>
      <c r="J163" s="23"/>
      <c r="K163" s="23"/>
      <c r="L163" s="23"/>
      <c r="M163" s="23"/>
      <c r="N163" s="23"/>
      <c r="O163" s="23"/>
      <c r="P163" s="23">
        <f>8000/2-G163</f>
        <v>2402.5</v>
      </c>
      <c r="Q163" s="23"/>
      <c r="R163" s="23">
        <f t="shared" ref="R163" si="74">SUM(G163:Q163)</f>
        <v>4000</v>
      </c>
      <c r="S163" s="25">
        <f t="shared" si="73"/>
        <v>48000</v>
      </c>
    </row>
    <row r="164" spans="1:20" s="49" customFormat="1" ht="20.399999999999999" customHeight="1" thickBot="1" x14ac:dyDescent="0.3">
      <c r="A164" s="64"/>
      <c r="B164" s="47" t="s">
        <v>59</v>
      </c>
      <c r="C164" s="34">
        <f>SUM(C159:C163)</f>
        <v>3.75</v>
      </c>
      <c r="D164" s="34"/>
      <c r="E164" s="35">
        <f>SUM(E159:E163)</f>
        <v>20072.5</v>
      </c>
      <c r="F164" s="34">
        <f>SUM(F159:F163)</f>
        <v>786.75</v>
      </c>
      <c r="G164" s="35">
        <f>SUM(G159:G163)</f>
        <v>20859.25</v>
      </c>
      <c r="H164" s="35"/>
      <c r="I164" s="35">
        <f>SUM(I162:I163)</f>
        <v>188.5</v>
      </c>
      <c r="J164" s="35"/>
      <c r="K164" s="35">
        <f>SUM(K159:K163)</f>
        <v>5213.0249999999996</v>
      </c>
      <c r="L164" s="35">
        <f>SUM(L159:L163)</f>
        <v>22660.224999999999</v>
      </c>
      <c r="M164" s="35"/>
      <c r="N164" s="35"/>
      <c r="O164" s="35">
        <f>SUM(O159:O163)</f>
        <v>0</v>
      </c>
      <c r="P164" s="35">
        <f>SUM(P162:P163)</f>
        <v>4517.5</v>
      </c>
      <c r="Q164" s="35"/>
      <c r="R164" s="35">
        <f>SUM(R159:R163)</f>
        <v>53438.5</v>
      </c>
      <c r="S164" s="36">
        <f>SUM(S159:S163)</f>
        <v>641262</v>
      </c>
    </row>
    <row r="165" spans="1:20" s="13" customFormat="1" ht="23.4" customHeight="1" x14ac:dyDescent="0.2">
      <c r="A165" s="18"/>
      <c r="B165" s="55" t="s">
        <v>252</v>
      </c>
      <c r="C165" s="85"/>
      <c r="D165" s="85"/>
      <c r="E165" s="94"/>
      <c r="F165" s="85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110"/>
    </row>
    <row r="166" spans="1:20" s="13" customFormat="1" x14ac:dyDescent="0.25">
      <c r="A166" s="20" t="s">
        <v>253</v>
      </c>
      <c r="B166" s="21" t="s">
        <v>206</v>
      </c>
      <c r="C166" s="22">
        <v>1</v>
      </c>
      <c r="D166" s="22">
        <v>14</v>
      </c>
      <c r="E166" s="23">
        <v>7732</v>
      </c>
      <c r="F166" s="22">
        <f>E166*0.1</f>
        <v>773.2</v>
      </c>
      <c r="G166" s="23">
        <f t="shared" ref="G166:G173" si="75">E166+F166</f>
        <v>8505.2000000000007</v>
      </c>
      <c r="H166" s="23"/>
      <c r="I166" s="23"/>
      <c r="J166" s="23"/>
      <c r="K166" s="23">
        <f>G166*0.3</f>
        <v>2551.56</v>
      </c>
      <c r="L166" s="23">
        <f>20000-G166-K166</f>
        <v>8943.24</v>
      </c>
      <c r="M166" s="23"/>
      <c r="N166" s="23"/>
      <c r="O166" s="23"/>
      <c r="P166" s="23"/>
      <c r="Q166" s="23"/>
      <c r="R166" s="23">
        <f>G166+K166+L166+O166</f>
        <v>20000</v>
      </c>
      <c r="S166" s="25">
        <f>R166*12</f>
        <v>240000</v>
      </c>
    </row>
    <row r="167" spans="1:20" s="13" customFormat="1" x14ac:dyDescent="0.25">
      <c r="A167" s="20" t="s">
        <v>254</v>
      </c>
      <c r="B167" s="21" t="s">
        <v>112</v>
      </c>
      <c r="C167" s="22">
        <v>0.5</v>
      </c>
      <c r="D167" s="22">
        <v>13</v>
      </c>
      <c r="E167" s="23">
        <f>7253*C167</f>
        <v>3626.5</v>
      </c>
      <c r="F167" s="22"/>
      <c r="G167" s="23">
        <f t="shared" si="75"/>
        <v>3626.5</v>
      </c>
      <c r="H167" s="23"/>
      <c r="I167" s="23"/>
      <c r="J167" s="23"/>
      <c r="K167" s="23">
        <f t="shared" ref="K167:K170" si="76">G167*0.3</f>
        <v>1087.95</v>
      </c>
      <c r="L167" s="23">
        <f>20000*C167-G167-K167</f>
        <v>5285.55</v>
      </c>
      <c r="M167" s="23"/>
      <c r="N167" s="23"/>
      <c r="O167" s="23"/>
      <c r="P167" s="23"/>
      <c r="Q167" s="23"/>
      <c r="R167" s="23">
        <f>G167+K167+L167+O167</f>
        <v>10000</v>
      </c>
      <c r="S167" s="25">
        <f t="shared" ref="S167:S172" si="77">R167*12</f>
        <v>120000</v>
      </c>
    </row>
    <row r="168" spans="1:20" x14ac:dyDescent="0.25">
      <c r="A168" s="20" t="s">
        <v>255</v>
      </c>
      <c r="B168" s="21" t="s">
        <v>171</v>
      </c>
      <c r="C168" s="22">
        <v>1</v>
      </c>
      <c r="D168" s="22">
        <v>11</v>
      </c>
      <c r="E168" s="23">
        <v>6294</v>
      </c>
      <c r="F168" s="22"/>
      <c r="G168" s="23">
        <f t="shared" si="75"/>
        <v>6294</v>
      </c>
      <c r="H168" s="23"/>
      <c r="I168" s="23"/>
      <c r="J168" s="23"/>
      <c r="K168" s="23">
        <f t="shared" si="76"/>
        <v>1888.1999999999998</v>
      </c>
      <c r="L168" s="23">
        <f>20000-G168-K168</f>
        <v>11817.8</v>
      </c>
      <c r="M168" s="23"/>
      <c r="N168" s="23"/>
      <c r="O168" s="23"/>
      <c r="P168" s="23"/>
      <c r="Q168" s="23"/>
      <c r="R168" s="23">
        <f>G168+K168+L168+O168</f>
        <v>20000</v>
      </c>
      <c r="S168" s="25">
        <f t="shared" si="77"/>
        <v>240000</v>
      </c>
    </row>
    <row r="169" spans="1:20" x14ac:dyDescent="0.25">
      <c r="A169" s="20" t="s">
        <v>256</v>
      </c>
      <c r="B169" s="21" t="s">
        <v>212</v>
      </c>
      <c r="C169" s="22">
        <v>1</v>
      </c>
      <c r="D169" s="22">
        <v>10</v>
      </c>
      <c r="E169" s="23">
        <v>5815</v>
      </c>
      <c r="F169" s="22"/>
      <c r="G169" s="23">
        <f t="shared" si="75"/>
        <v>5815</v>
      </c>
      <c r="H169" s="23"/>
      <c r="I169" s="23"/>
      <c r="J169" s="23"/>
      <c r="K169" s="23">
        <f t="shared" si="76"/>
        <v>1744.5</v>
      </c>
      <c r="L169" s="23">
        <f>13500-G169-K169</f>
        <v>5940.5</v>
      </c>
      <c r="M169" s="23"/>
      <c r="N169" s="23"/>
      <c r="O169" s="23"/>
      <c r="P169" s="23"/>
      <c r="Q169" s="23"/>
      <c r="R169" s="23">
        <f>G169+K169+L169</f>
        <v>13500</v>
      </c>
      <c r="S169" s="25">
        <f t="shared" si="77"/>
        <v>162000</v>
      </c>
    </row>
    <row r="170" spans="1:20" x14ac:dyDescent="0.25">
      <c r="A170" s="20" t="s">
        <v>257</v>
      </c>
      <c r="B170" s="21" t="s">
        <v>235</v>
      </c>
      <c r="C170" s="22">
        <v>2</v>
      </c>
      <c r="D170" s="22">
        <v>10</v>
      </c>
      <c r="E170" s="23">
        <f>5815*C170</f>
        <v>11630</v>
      </c>
      <c r="F170" s="22"/>
      <c r="G170" s="23">
        <f t="shared" si="75"/>
        <v>11630</v>
      </c>
      <c r="H170" s="23"/>
      <c r="I170" s="23"/>
      <c r="J170" s="23"/>
      <c r="K170" s="23">
        <f t="shared" si="76"/>
        <v>3489</v>
      </c>
      <c r="L170" s="23">
        <f>13500*C170-G170-K170</f>
        <v>11881</v>
      </c>
      <c r="M170" s="23"/>
      <c r="N170" s="23"/>
      <c r="O170" s="23"/>
      <c r="P170" s="23"/>
      <c r="Q170" s="23"/>
      <c r="R170" s="23">
        <f t="shared" ref="R170" si="78">G170+K170+L170</f>
        <v>27000</v>
      </c>
      <c r="S170" s="25">
        <f t="shared" si="77"/>
        <v>324000</v>
      </c>
    </row>
    <row r="171" spans="1:20" x14ac:dyDescent="0.25">
      <c r="A171" s="20" t="s">
        <v>258</v>
      </c>
      <c r="B171" s="21" t="s">
        <v>134</v>
      </c>
      <c r="C171" s="22">
        <v>1</v>
      </c>
      <c r="D171" s="22">
        <v>3</v>
      </c>
      <c r="E171" s="23">
        <v>3770</v>
      </c>
      <c r="F171" s="22"/>
      <c r="G171" s="23">
        <f t="shared" si="75"/>
        <v>3770</v>
      </c>
      <c r="H171" s="23"/>
      <c r="I171" s="23">
        <f>G171*0.1</f>
        <v>377</v>
      </c>
      <c r="J171" s="23"/>
      <c r="K171" s="23"/>
      <c r="L171" s="23"/>
      <c r="M171" s="23"/>
      <c r="N171" s="23"/>
      <c r="O171" s="23"/>
      <c r="P171" s="23">
        <f>8000-G171</f>
        <v>4230</v>
      </c>
      <c r="Q171" s="23"/>
      <c r="R171" s="23">
        <f>G171+I171+P171</f>
        <v>8377</v>
      </c>
      <c r="S171" s="25">
        <f t="shared" si="77"/>
        <v>100524</v>
      </c>
      <c r="T171" s="53"/>
    </row>
    <row r="172" spans="1:20" s="38" customFormat="1" x14ac:dyDescent="0.25">
      <c r="A172" s="20" t="s">
        <v>260</v>
      </c>
      <c r="B172" s="21" t="s">
        <v>245</v>
      </c>
      <c r="C172" s="22">
        <v>0.5</v>
      </c>
      <c r="D172" s="22">
        <v>5</v>
      </c>
      <c r="E172" s="23">
        <v>2172.5</v>
      </c>
      <c r="F172" s="22"/>
      <c r="G172" s="23">
        <f t="shared" si="75"/>
        <v>2172.5</v>
      </c>
      <c r="H172" s="23"/>
      <c r="I172" s="23"/>
      <c r="J172" s="23"/>
      <c r="K172" s="23"/>
      <c r="L172" s="23"/>
      <c r="M172" s="23"/>
      <c r="N172" s="23"/>
      <c r="O172" s="23"/>
      <c r="P172" s="23">
        <f>8000/2-G172</f>
        <v>1827.5</v>
      </c>
      <c r="Q172" s="23"/>
      <c r="R172" s="23">
        <f>SUM(G172:Q172)</f>
        <v>4000</v>
      </c>
      <c r="S172" s="25">
        <f t="shared" si="77"/>
        <v>48000</v>
      </c>
    </row>
    <row r="173" spans="1:20" s="49" customFormat="1" ht="21.6" customHeight="1" thickBot="1" x14ac:dyDescent="0.3">
      <c r="A173" s="64"/>
      <c r="B173" s="47" t="s">
        <v>59</v>
      </c>
      <c r="C173" s="34">
        <f>SUM(C166:C172)</f>
        <v>7</v>
      </c>
      <c r="D173" s="34"/>
      <c r="E173" s="35">
        <f>SUM(E166:E172)</f>
        <v>41040</v>
      </c>
      <c r="F173" s="34">
        <f>SUM(F166:F172)</f>
        <v>773.2</v>
      </c>
      <c r="G173" s="35">
        <f t="shared" si="75"/>
        <v>41813.199999999997</v>
      </c>
      <c r="H173" s="35"/>
      <c r="I173" s="35">
        <f>SUM(I171:I172)</f>
        <v>377</v>
      </c>
      <c r="J173" s="35"/>
      <c r="K173" s="35">
        <f>SUM(K166:K172)</f>
        <v>10761.21</v>
      </c>
      <c r="L173" s="35">
        <f>SUM(L166:L172)</f>
        <v>43868.09</v>
      </c>
      <c r="M173" s="35"/>
      <c r="N173" s="35"/>
      <c r="O173" s="35">
        <f>SUM(O166:O172)</f>
        <v>0</v>
      </c>
      <c r="P173" s="35">
        <f>SUM(P166:P172)</f>
        <v>6057.5</v>
      </c>
      <c r="Q173" s="35"/>
      <c r="R173" s="35">
        <f>SUM(R166:R172)</f>
        <v>102877</v>
      </c>
      <c r="S173" s="36">
        <f>SUM(S166:S172)</f>
        <v>1234524</v>
      </c>
    </row>
    <row r="174" spans="1:20" s="13" customFormat="1" ht="18" customHeight="1" x14ac:dyDescent="0.2">
      <c r="A174" s="18"/>
      <c r="B174" s="55" t="s">
        <v>259</v>
      </c>
      <c r="C174" s="85"/>
      <c r="D174" s="85"/>
      <c r="E174" s="94"/>
      <c r="F174" s="85"/>
      <c r="G174" s="94"/>
      <c r="H174" s="94"/>
      <c r="I174" s="94"/>
      <c r="J174" s="94"/>
      <c r="K174" s="94"/>
      <c r="L174" s="94"/>
      <c r="M174" s="94"/>
      <c r="N174" s="94"/>
      <c r="O174" s="94"/>
      <c r="P174" s="94"/>
      <c r="Q174" s="94"/>
      <c r="R174" s="94"/>
      <c r="S174" s="110"/>
    </row>
    <row r="175" spans="1:20" s="13" customFormat="1" x14ac:dyDescent="0.25">
      <c r="A175" s="20" t="s">
        <v>261</v>
      </c>
      <c r="B175" s="21" t="s">
        <v>206</v>
      </c>
      <c r="C175" s="22">
        <v>1</v>
      </c>
      <c r="D175" s="22">
        <v>14</v>
      </c>
      <c r="E175" s="23">
        <f>7732*C175</f>
        <v>7732</v>
      </c>
      <c r="F175" s="22">
        <f>E175*0.1</f>
        <v>773.2</v>
      </c>
      <c r="G175" s="23">
        <f t="shared" ref="G175:G178" si="79">E175+F175</f>
        <v>8505.2000000000007</v>
      </c>
      <c r="H175" s="23"/>
      <c r="I175" s="23"/>
      <c r="J175" s="23"/>
      <c r="K175" s="23"/>
      <c r="L175" s="23">
        <f>20000*C175-G175</f>
        <v>11494.8</v>
      </c>
      <c r="M175" s="23"/>
      <c r="N175" s="23"/>
      <c r="O175" s="23"/>
      <c r="P175" s="23"/>
      <c r="Q175" s="23"/>
      <c r="R175" s="23">
        <f>SUM(G175:Q175)</f>
        <v>20000</v>
      </c>
      <c r="S175" s="25">
        <f>R175*12</f>
        <v>240000</v>
      </c>
    </row>
    <row r="176" spans="1:20" x14ac:dyDescent="0.25">
      <c r="A176" s="20" t="s">
        <v>262</v>
      </c>
      <c r="B176" s="21" t="s">
        <v>235</v>
      </c>
      <c r="C176" s="22">
        <v>1</v>
      </c>
      <c r="D176" s="22">
        <v>10</v>
      </c>
      <c r="E176" s="23">
        <v>5815</v>
      </c>
      <c r="F176" s="22"/>
      <c r="G176" s="23">
        <f t="shared" si="79"/>
        <v>5815</v>
      </c>
      <c r="H176" s="23"/>
      <c r="I176" s="23"/>
      <c r="J176" s="23"/>
      <c r="K176" s="23">
        <f>G176*0.3</f>
        <v>1744.5</v>
      </c>
      <c r="L176" s="23">
        <f>13500-G176-K176</f>
        <v>5940.5</v>
      </c>
      <c r="M176" s="23"/>
      <c r="N176" s="23"/>
      <c r="O176" s="23"/>
      <c r="P176" s="23"/>
      <c r="Q176" s="23"/>
      <c r="R176" s="23">
        <f>G176+K176+L176</f>
        <v>13500</v>
      </c>
      <c r="S176" s="25">
        <f t="shared" ref="S176:S177" si="80">R176*12</f>
        <v>162000</v>
      </c>
      <c r="T176" s="53"/>
    </row>
    <row r="177" spans="1:20" s="38" customFormat="1" x14ac:dyDescent="0.25">
      <c r="A177" s="20" t="s">
        <v>264</v>
      </c>
      <c r="B177" s="21" t="s">
        <v>134</v>
      </c>
      <c r="C177" s="22">
        <v>1</v>
      </c>
      <c r="D177" s="22">
        <v>3</v>
      </c>
      <c r="E177" s="23">
        <v>3770</v>
      </c>
      <c r="F177" s="22"/>
      <c r="G177" s="23">
        <f t="shared" si="79"/>
        <v>3770</v>
      </c>
      <c r="H177" s="23"/>
      <c r="I177" s="23">
        <f>G177*0.1</f>
        <v>377</v>
      </c>
      <c r="J177" s="23"/>
      <c r="K177" s="23"/>
      <c r="L177" s="23"/>
      <c r="M177" s="23"/>
      <c r="N177" s="23"/>
      <c r="O177" s="23"/>
      <c r="P177" s="23">
        <f>8000-G177</f>
        <v>4230</v>
      </c>
      <c r="Q177" s="23"/>
      <c r="R177" s="23">
        <f>G177+I177+P177</f>
        <v>8377</v>
      </c>
      <c r="S177" s="25">
        <f t="shared" si="80"/>
        <v>100524</v>
      </c>
    </row>
    <row r="178" spans="1:20" s="49" customFormat="1" ht="21" customHeight="1" thickBot="1" x14ac:dyDescent="0.3">
      <c r="A178" s="64"/>
      <c r="B178" s="47" t="s">
        <v>59</v>
      </c>
      <c r="C178" s="34">
        <f>SUM(C175:C177)</f>
        <v>3</v>
      </c>
      <c r="D178" s="34"/>
      <c r="E178" s="35">
        <f>SUM(E175:E177)</f>
        <v>17317</v>
      </c>
      <c r="F178" s="34">
        <f>SUM(F175:F177)</f>
        <v>773.2</v>
      </c>
      <c r="G178" s="35">
        <f t="shared" si="79"/>
        <v>18090.2</v>
      </c>
      <c r="H178" s="35"/>
      <c r="I178" s="35">
        <f>SUM(I177)</f>
        <v>377</v>
      </c>
      <c r="J178" s="35"/>
      <c r="K178" s="35">
        <f>K176</f>
        <v>1744.5</v>
      </c>
      <c r="L178" s="35">
        <f>L175+L176</f>
        <v>17435.3</v>
      </c>
      <c r="M178" s="35">
        <f>M175</f>
        <v>0</v>
      </c>
      <c r="N178" s="35"/>
      <c r="O178" s="35"/>
      <c r="P178" s="35">
        <f>SUM(P177)</f>
        <v>4230</v>
      </c>
      <c r="Q178" s="35"/>
      <c r="R178" s="35">
        <f>SUM(R175:R177)</f>
        <v>41877</v>
      </c>
      <c r="S178" s="36">
        <f>SUM(S175:S177)</f>
        <v>502524</v>
      </c>
    </row>
    <row r="179" spans="1:20" ht="15" customHeight="1" x14ac:dyDescent="0.25">
      <c r="A179" s="15"/>
      <c r="B179" s="55" t="s">
        <v>312</v>
      </c>
      <c r="C179" s="85"/>
      <c r="D179" s="85"/>
      <c r="E179" s="94"/>
      <c r="F179" s="85"/>
      <c r="G179" s="94"/>
      <c r="H179" s="94"/>
      <c r="I179" s="94"/>
      <c r="J179" s="94"/>
      <c r="K179" s="94"/>
      <c r="L179" s="94"/>
      <c r="M179" s="94"/>
      <c r="N179" s="94"/>
      <c r="O179" s="94"/>
      <c r="P179" s="94"/>
      <c r="Q179" s="94"/>
      <c r="R179" s="94"/>
      <c r="S179" s="110"/>
    </row>
    <row r="180" spans="1:20" ht="19.8" customHeight="1" x14ac:dyDescent="0.25">
      <c r="A180" s="20"/>
      <c r="B180" s="44" t="s">
        <v>263</v>
      </c>
      <c r="C180" s="22"/>
      <c r="D180" s="22"/>
      <c r="E180" s="23"/>
      <c r="F180" s="22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5"/>
    </row>
    <row r="181" spans="1:20" x14ac:dyDescent="0.25">
      <c r="A181" s="20" t="s">
        <v>264</v>
      </c>
      <c r="B181" s="21" t="s">
        <v>220</v>
      </c>
      <c r="C181" s="22">
        <v>0.5</v>
      </c>
      <c r="D181" s="22">
        <v>10</v>
      </c>
      <c r="E181" s="23">
        <v>2907.5</v>
      </c>
      <c r="F181" s="22"/>
      <c r="G181" s="23">
        <f t="shared" ref="G181:G184" si="81">E181+F181</f>
        <v>2907.5</v>
      </c>
      <c r="H181" s="23"/>
      <c r="I181" s="23"/>
      <c r="J181" s="23"/>
      <c r="K181" s="23">
        <f>G181*0.3</f>
        <v>872.25</v>
      </c>
      <c r="L181" s="23">
        <f>R181-K181-G181</f>
        <v>2970.25</v>
      </c>
      <c r="M181" s="23"/>
      <c r="N181" s="23"/>
      <c r="O181" s="23"/>
      <c r="P181" s="23"/>
      <c r="Q181" s="23"/>
      <c r="R181" s="23">
        <v>6750</v>
      </c>
      <c r="S181" s="25">
        <f>R181*12</f>
        <v>81000</v>
      </c>
    </row>
    <row r="182" spans="1:20" x14ac:dyDescent="0.25">
      <c r="A182" s="20" t="s">
        <v>265</v>
      </c>
      <c r="B182" s="21" t="s">
        <v>134</v>
      </c>
      <c r="C182" s="22">
        <v>0.25</v>
      </c>
      <c r="D182" s="22">
        <v>3</v>
      </c>
      <c r="E182" s="23">
        <v>942.5</v>
      </c>
      <c r="F182" s="22"/>
      <c r="G182" s="23">
        <f t="shared" si="81"/>
        <v>942.5</v>
      </c>
      <c r="H182" s="23"/>
      <c r="I182" s="23">
        <f>G182*0.1</f>
        <v>94.25</v>
      </c>
      <c r="J182" s="23"/>
      <c r="K182" s="23"/>
      <c r="L182" s="23"/>
      <c r="M182" s="23"/>
      <c r="N182" s="23"/>
      <c r="O182" s="23"/>
      <c r="P182" s="23">
        <f>8000*0.25-G182</f>
        <v>1057.5</v>
      </c>
      <c r="Q182" s="23"/>
      <c r="R182" s="23">
        <f>E182+I182+P182</f>
        <v>2094.25</v>
      </c>
      <c r="S182" s="25">
        <f>R182*12</f>
        <v>25131</v>
      </c>
    </row>
    <row r="183" spans="1:20" s="38" customFormat="1" x14ac:dyDescent="0.25">
      <c r="A183" s="20" t="s">
        <v>266</v>
      </c>
      <c r="B183" s="21" t="s">
        <v>267</v>
      </c>
      <c r="C183" s="22">
        <v>0.25</v>
      </c>
      <c r="D183" s="22">
        <v>1</v>
      </c>
      <c r="E183" s="23">
        <v>798.75</v>
      </c>
      <c r="F183" s="22"/>
      <c r="G183" s="23">
        <f t="shared" si="81"/>
        <v>798.75</v>
      </c>
      <c r="H183" s="23"/>
      <c r="I183" s="23"/>
      <c r="J183" s="23"/>
      <c r="K183" s="23"/>
      <c r="L183" s="23"/>
      <c r="M183" s="23"/>
      <c r="N183" s="23"/>
      <c r="O183" s="23"/>
      <c r="P183" s="23">
        <f>8000*0.25-G183</f>
        <v>1201.25</v>
      </c>
      <c r="Q183" s="23"/>
      <c r="R183" s="23">
        <f>E183+P183</f>
        <v>2000</v>
      </c>
      <c r="S183" s="25">
        <f>R183*6</f>
        <v>12000</v>
      </c>
    </row>
    <row r="184" spans="1:20" s="27" customFormat="1" ht="15" customHeight="1" thickBot="1" x14ac:dyDescent="0.3">
      <c r="A184" s="112"/>
      <c r="B184" s="113" t="s">
        <v>59</v>
      </c>
      <c r="C184" s="114">
        <f>C181+C182+C183</f>
        <v>1</v>
      </c>
      <c r="D184" s="114"/>
      <c r="E184" s="115">
        <f>E181+E182+E183</f>
        <v>4648.75</v>
      </c>
      <c r="F184" s="114"/>
      <c r="G184" s="115">
        <f t="shared" si="81"/>
        <v>4648.75</v>
      </c>
      <c r="H184" s="115"/>
      <c r="I184" s="115">
        <f>SUM(I182)</f>
        <v>94.25</v>
      </c>
      <c r="J184" s="115"/>
      <c r="K184" s="115">
        <f>SUM(K181:K182)</f>
        <v>872.25</v>
      </c>
      <c r="L184" s="115">
        <f>SUM(L181:L182)</f>
        <v>2970.25</v>
      </c>
      <c r="M184" s="115"/>
      <c r="N184" s="115"/>
      <c r="O184" s="115"/>
      <c r="P184" s="115">
        <f>P182+P183</f>
        <v>2258.75</v>
      </c>
      <c r="Q184" s="115"/>
      <c r="R184" s="115">
        <f>SUM(R181:R183)</f>
        <v>10844.25</v>
      </c>
      <c r="S184" s="116">
        <f>SUM(S181:S183)</f>
        <v>118131</v>
      </c>
    </row>
    <row r="185" spans="1:20" s="13" customFormat="1" ht="20.399999999999999" customHeight="1" x14ac:dyDescent="0.2">
      <c r="A185" s="18"/>
      <c r="B185" s="55" t="s">
        <v>268</v>
      </c>
      <c r="C185" s="85"/>
      <c r="D185" s="85"/>
      <c r="E185" s="94"/>
      <c r="F185" s="85"/>
      <c r="G185" s="94"/>
      <c r="H185" s="94"/>
      <c r="I185" s="94"/>
      <c r="J185" s="94"/>
      <c r="K185" s="94"/>
      <c r="L185" s="94"/>
      <c r="M185" s="94"/>
      <c r="N185" s="94"/>
      <c r="O185" s="94"/>
      <c r="P185" s="94"/>
      <c r="Q185" s="94"/>
      <c r="R185" s="94"/>
      <c r="S185" s="110"/>
    </row>
    <row r="186" spans="1:20" x14ac:dyDescent="0.25">
      <c r="A186" s="20" t="s">
        <v>269</v>
      </c>
      <c r="B186" s="21" t="s">
        <v>220</v>
      </c>
      <c r="C186" s="22">
        <v>0.5</v>
      </c>
      <c r="D186" s="22">
        <v>9</v>
      </c>
      <c r="E186" s="23">
        <v>2763.5</v>
      </c>
      <c r="F186" s="22"/>
      <c r="G186" s="23">
        <f t="shared" ref="G186:G189" si="82">E186+F186</f>
        <v>2763.5</v>
      </c>
      <c r="H186" s="23"/>
      <c r="I186" s="23"/>
      <c r="J186" s="23"/>
      <c r="K186" s="23">
        <f>G186*0.3</f>
        <v>829.05</v>
      </c>
      <c r="L186" s="23">
        <f>6750-G186-K186</f>
        <v>3157.45</v>
      </c>
      <c r="M186" s="23"/>
      <c r="N186" s="23"/>
      <c r="O186" s="23"/>
      <c r="P186" s="23"/>
      <c r="Q186" s="23"/>
      <c r="R186" s="23">
        <f>G186+K186+L186</f>
        <v>6750</v>
      </c>
      <c r="S186" s="25">
        <f>R186*12</f>
        <v>81000</v>
      </c>
    </row>
    <row r="187" spans="1:20" x14ac:dyDescent="0.25">
      <c r="A187" s="20" t="s">
        <v>270</v>
      </c>
      <c r="B187" s="21" t="s">
        <v>134</v>
      </c>
      <c r="C187" s="22">
        <v>0.25</v>
      </c>
      <c r="D187" s="22">
        <v>3</v>
      </c>
      <c r="E187" s="23">
        <v>942.5</v>
      </c>
      <c r="F187" s="22"/>
      <c r="G187" s="23">
        <f t="shared" si="82"/>
        <v>942.5</v>
      </c>
      <c r="H187" s="23"/>
      <c r="I187" s="23">
        <f>G187*0.1</f>
        <v>94.25</v>
      </c>
      <c r="J187" s="23"/>
      <c r="K187" s="23"/>
      <c r="L187" s="23"/>
      <c r="M187" s="23"/>
      <c r="N187" s="23"/>
      <c r="O187" s="23"/>
      <c r="P187" s="23">
        <f>8000*0.25-G187</f>
        <v>1057.5</v>
      </c>
      <c r="Q187" s="23"/>
      <c r="R187" s="23">
        <f>E187+I187+P187</f>
        <v>2094.25</v>
      </c>
      <c r="S187" s="25">
        <f>R187*12</f>
        <v>25131</v>
      </c>
    </row>
    <row r="188" spans="1:20" s="38" customFormat="1" x14ac:dyDescent="0.25">
      <c r="A188" s="20" t="s">
        <v>271</v>
      </c>
      <c r="B188" s="21" t="s">
        <v>227</v>
      </c>
      <c r="C188" s="22">
        <v>0.5</v>
      </c>
      <c r="D188" s="22">
        <v>1</v>
      </c>
      <c r="E188" s="23">
        <v>1597.5</v>
      </c>
      <c r="F188" s="22"/>
      <c r="G188" s="23">
        <f t="shared" si="82"/>
        <v>1597.5</v>
      </c>
      <c r="H188" s="23"/>
      <c r="I188" s="23"/>
      <c r="J188" s="23"/>
      <c r="K188" s="23"/>
      <c r="L188" s="23"/>
      <c r="M188" s="23"/>
      <c r="N188" s="23"/>
      <c r="O188" s="23"/>
      <c r="P188" s="23">
        <f>8000/2-G188</f>
        <v>2402.5</v>
      </c>
      <c r="Q188" s="23"/>
      <c r="R188" s="23">
        <f>E188+P188</f>
        <v>4000</v>
      </c>
      <c r="S188" s="25">
        <f>R188*6</f>
        <v>24000</v>
      </c>
    </row>
    <row r="189" spans="1:20" s="27" customFormat="1" ht="18.75" customHeight="1" thickBot="1" x14ac:dyDescent="0.3">
      <c r="A189" s="64"/>
      <c r="B189" s="47" t="s">
        <v>59</v>
      </c>
      <c r="C189" s="34">
        <f>C186+C187+C188</f>
        <v>1.25</v>
      </c>
      <c r="D189" s="34"/>
      <c r="E189" s="35">
        <f>E186+E187+E188</f>
        <v>5303.5</v>
      </c>
      <c r="F189" s="34"/>
      <c r="G189" s="35">
        <f t="shared" si="82"/>
        <v>5303.5</v>
      </c>
      <c r="H189" s="35"/>
      <c r="I189" s="35">
        <f>SUM(I186:I187)</f>
        <v>94.25</v>
      </c>
      <c r="J189" s="35"/>
      <c r="K189" s="35">
        <f>SUM(K186:K188)</f>
        <v>829.05</v>
      </c>
      <c r="L189" s="35">
        <f>SUM(L185:L187)</f>
        <v>3157.45</v>
      </c>
      <c r="M189" s="35"/>
      <c r="N189" s="35"/>
      <c r="O189" s="35"/>
      <c r="P189" s="35">
        <f>P187+P188</f>
        <v>3460</v>
      </c>
      <c r="Q189" s="35"/>
      <c r="R189" s="35">
        <f>SUM(R186:R188)</f>
        <v>12844.25</v>
      </c>
      <c r="S189" s="36">
        <f>SUM(S186:S188)</f>
        <v>130131</v>
      </c>
    </row>
    <row r="190" spans="1:20" ht="22.8" customHeight="1" x14ac:dyDescent="0.25">
      <c r="A190" s="57"/>
      <c r="B190" s="111" t="s">
        <v>272</v>
      </c>
      <c r="C190" s="91"/>
      <c r="D190" s="91"/>
      <c r="E190" s="51"/>
      <c r="F190" s="9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97"/>
      <c r="T190" s="65"/>
    </row>
    <row r="191" spans="1:20" x14ac:dyDescent="0.25">
      <c r="A191" s="20" t="s">
        <v>273</v>
      </c>
      <c r="B191" s="21" t="s">
        <v>130</v>
      </c>
      <c r="C191" s="22">
        <v>1</v>
      </c>
      <c r="D191" s="22">
        <v>10</v>
      </c>
      <c r="E191" s="23">
        <v>5815</v>
      </c>
      <c r="F191" s="22"/>
      <c r="G191" s="23">
        <f t="shared" ref="G191:G194" si="83">E191+F191</f>
        <v>5815</v>
      </c>
      <c r="H191" s="23"/>
      <c r="I191" s="23"/>
      <c r="J191" s="23"/>
      <c r="K191" s="23">
        <f>G191*0.3</f>
        <v>1744.5</v>
      </c>
      <c r="L191" s="23">
        <f>13500-G191-K191</f>
        <v>5940.5</v>
      </c>
      <c r="M191" s="23"/>
      <c r="N191" s="23"/>
      <c r="O191" s="23"/>
      <c r="P191" s="23"/>
      <c r="Q191" s="23"/>
      <c r="R191" s="23">
        <f>G191+K191+L191</f>
        <v>13500</v>
      </c>
      <c r="S191" s="25">
        <f>R191*12</f>
        <v>162000</v>
      </c>
    </row>
    <row r="192" spans="1:20" x14ac:dyDescent="0.25">
      <c r="A192" s="20" t="s">
        <v>274</v>
      </c>
      <c r="B192" s="21" t="s">
        <v>134</v>
      </c>
      <c r="C192" s="22">
        <v>0.25</v>
      </c>
      <c r="D192" s="22">
        <v>3</v>
      </c>
      <c r="E192" s="23">
        <v>942.5</v>
      </c>
      <c r="F192" s="22"/>
      <c r="G192" s="23">
        <f t="shared" si="83"/>
        <v>942.5</v>
      </c>
      <c r="H192" s="23"/>
      <c r="I192" s="23">
        <f>G192*0.1</f>
        <v>94.25</v>
      </c>
      <c r="J192" s="23"/>
      <c r="K192" s="23"/>
      <c r="L192" s="23"/>
      <c r="M192" s="23"/>
      <c r="N192" s="23"/>
      <c r="O192" s="23"/>
      <c r="P192" s="23">
        <f>8000*0.25-G192</f>
        <v>1057.5</v>
      </c>
      <c r="Q192" s="23"/>
      <c r="R192" s="23">
        <f>E192+I192+P192</f>
        <v>2094.25</v>
      </c>
      <c r="S192" s="25">
        <f>R192*12</f>
        <v>25131</v>
      </c>
    </row>
    <row r="193" spans="1:19" s="38" customFormat="1" x14ac:dyDescent="0.25">
      <c r="A193" s="20" t="s">
        <v>275</v>
      </c>
      <c r="B193" s="21" t="s">
        <v>267</v>
      </c>
      <c r="C193" s="22">
        <v>0.25</v>
      </c>
      <c r="D193" s="22">
        <v>1</v>
      </c>
      <c r="E193" s="23">
        <v>798.75</v>
      </c>
      <c r="F193" s="22"/>
      <c r="G193" s="23">
        <f t="shared" si="83"/>
        <v>798.75</v>
      </c>
      <c r="H193" s="23"/>
      <c r="I193" s="23"/>
      <c r="J193" s="23"/>
      <c r="K193" s="23"/>
      <c r="L193" s="23"/>
      <c r="M193" s="23"/>
      <c r="N193" s="23"/>
      <c r="O193" s="23"/>
      <c r="P193" s="23">
        <f>8000*0.25-G193</f>
        <v>1201.25</v>
      </c>
      <c r="Q193" s="23"/>
      <c r="R193" s="23">
        <f>E193+P193</f>
        <v>2000</v>
      </c>
      <c r="S193" s="25">
        <f>R193*6</f>
        <v>12000</v>
      </c>
    </row>
    <row r="194" spans="1:19" s="27" customFormat="1" ht="13.8" thickBot="1" x14ac:dyDescent="0.3">
      <c r="A194" s="64"/>
      <c r="B194" s="47" t="s">
        <v>59</v>
      </c>
      <c r="C194" s="34">
        <f>SUM(C191:C193)</f>
        <v>1.5</v>
      </c>
      <c r="D194" s="34"/>
      <c r="E194" s="35">
        <f>SUM(E191:E193)</f>
        <v>7556.25</v>
      </c>
      <c r="F194" s="34">
        <f>SUM(F191:F193)</f>
        <v>0</v>
      </c>
      <c r="G194" s="35">
        <f t="shared" si="83"/>
        <v>7556.25</v>
      </c>
      <c r="H194" s="35"/>
      <c r="I194" s="35">
        <f>SUM(I192:I193)</f>
        <v>94.25</v>
      </c>
      <c r="J194" s="35"/>
      <c r="K194" s="35">
        <f>SUM(K191:K193)</f>
        <v>1744.5</v>
      </c>
      <c r="L194" s="35">
        <f>SUM(L191:L193)</f>
        <v>5940.5</v>
      </c>
      <c r="M194" s="35"/>
      <c r="N194" s="35"/>
      <c r="O194" s="35"/>
      <c r="P194" s="35">
        <f>P192+P193</f>
        <v>2258.75</v>
      </c>
      <c r="Q194" s="35"/>
      <c r="R194" s="35">
        <f>SUM(R191:R193)</f>
        <v>17594.25</v>
      </c>
      <c r="S194" s="36">
        <f>SUM(S191:S193)</f>
        <v>199131</v>
      </c>
    </row>
    <row r="195" spans="1:19" ht="22.2" customHeight="1" x14ac:dyDescent="0.25">
      <c r="A195" s="15"/>
      <c r="B195" s="55" t="s">
        <v>276</v>
      </c>
      <c r="C195" s="85"/>
      <c r="D195" s="85"/>
      <c r="E195" s="94"/>
      <c r="F195" s="85"/>
      <c r="G195" s="94"/>
      <c r="H195" s="94"/>
      <c r="I195" s="94"/>
      <c r="J195" s="94"/>
      <c r="K195" s="94"/>
      <c r="L195" s="94"/>
      <c r="M195" s="94"/>
      <c r="N195" s="94"/>
      <c r="O195" s="94"/>
      <c r="P195" s="94"/>
      <c r="Q195" s="94"/>
      <c r="R195" s="94"/>
      <c r="S195" s="110"/>
    </row>
    <row r="196" spans="1:19" x14ac:dyDescent="0.25">
      <c r="A196" s="20" t="s">
        <v>277</v>
      </c>
      <c r="B196" s="21" t="s">
        <v>220</v>
      </c>
      <c r="C196" s="22">
        <v>1</v>
      </c>
      <c r="D196" s="22">
        <v>10</v>
      </c>
      <c r="E196" s="23">
        <v>5815</v>
      </c>
      <c r="F196" s="22"/>
      <c r="G196" s="23">
        <f t="shared" ref="G196:G199" si="84">E196+F196</f>
        <v>5815</v>
      </c>
      <c r="H196" s="23"/>
      <c r="I196" s="23"/>
      <c r="J196" s="23"/>
      <c r="K196" s="23">
        <f>G196*0.3</f>
        <v>1744.5</v>
      </c>
      <c r="L196" s="23">
        <f>13500-G196-K196</f>
        <v>5940.5</v>
      </c>
      <c r="M196" s="23"/>
      <c r="N196" s="23"/>
      <c r="O196" s="23"/>
      <c r="P196" s="23"/>
      <c r="Q196" s="23"/>
      <c r="R196" s="23">
        <f>G196+K196+L196</f>
        <v>13500</v>
      </c>
      <c r="S196" s="25">
        <f>R196*12</f>
        <v>162000</v>
      </c>
    </row>
    <row r="197" spans="1:19" x14ac:dyDescent="0.25">
      <c r="A197" s="20" t="s">
        <v>278</v>
      </c>
      <c r="B197" s="21" t="s">
        <v>134</v>
      </c>
      <c r="C197" s="22">
        <v>0.25</v>
      </c>
      <c r="D197" s="22">
        <v>3</v>
      </c>
      <c r="E197" s="23">
        <v>942.5</v>
      </c>
      <c r="F197" s="22"/>
      <c r="G197" s="23">
        <f t="shared" si="84"/>
        <v>942.5</v>
      </c>
      <c r="H197" s="23"/>
      <c r="I197" s="23">
        <f>G197*0.1</f>
        <v>94.25</v>
      </c>
      <c r="J197" s="23"/>
      <c r="K197" s="23"/>
      <c r="L197" s="23"/>
      <c r="M197" s="23"/>
      <c r="N197" s="23"/>
      <c r="O197" s="23"/>
      <c r="P197" s="23">
        <f>8000*0.25-G197</f>
        <v>1057.5</v>
      </c>
      <c r="Q197" s="23"/>
      <c r="R197" s="23">
        <f>E197+I197+P197</f>
        <v>2094.25</v>
      </c>
      <c r="S197" s="25">
        <f>R197*12</f>
        <v>25131</v>
      </c>
    </row>
    <row r="198" spans="1:19" s="38" customFormat="1" x14ac:dyDescent="0.25">
      <c r="A198" s="20" t="s">
        <v>279</v>
      </c>
      <c r="B198" s="21" t="s">
        <v>267</v>
      </c>
      <c r="C198" s="22">
        <v>0.25</v>
      </c>
      <c r="D198" s="22">
        <v>1</v>
      </c>
      <c r="E198" s="23">
        <v>798.75</v>
      </c>
      <c r="F198" s="22"/>
      <c r="G198" s="23">
        <f t="shared" si="84"/>
        <v>798.75</v>
      </c>
      <c r="H198" s="23"/>
      <c r="I198" s="23"/>
      <c r="J198" s="23"/>
      <c r="K198" s="23"/>
      <c r="L198" s="23"/>
      <c r="M198" s="23"/>
      <c r="N198" s="23"/>
      <c r="O198" s="23"/>
      <c r="P198" s="23">
        <f>8000*0.25-G198</f>
        <v>1201.25</v>
      </c>
      <c r="Q198" s="23"/>
      <c r="R198" s="23">
        <f>E198+P198</f>
        <v>2000</v>
      </c>
      <c r="S198" s="25">
        <f>R198*6</f>
        <v>12000</v>
      </c>
    </row>
    <row r="199" spans="1:19" s="27" customFormat="1" ht="13.8" thickBot="1" x14ac:dyDescent="0.3">
      <c r="A199" s="64"/>
      <c r="B199" s="47" t="s">
        <v>59</v>
      </c>
      <c r="C199" s="34">
        <f>SUM(C196:C198)</f>
        <v>1.5</v>
      </c>
      <c r="D199" s="34"/>
      <c r="E199" s="35">
        <f>SUM(E196:E198)</f>
        <v>7556.25</v>
      </c>
      <c r="F199" s="34">
        <f>SUM(F196:F198)</f>
        <v>0</v>
      </c>
      <c r="G199" s="35">
        <f t="shared" si="84"/>
        <v>7556.25</v>
      </c>
      <c r="H199" s="35"/>
      <c r="I199" s="35">
        <f>SUM(I197:I198)</f>
        <v>94.25</v>
      </c>
      <c r="J199" s="35"/>
      <c r="K199" s="35">
        <f>K196</f>
        <v>1744.5</v>
      </c>
      <c r="L199" s="35">
        <f>SUM(L196:L198)</f>
        <v>5940.5</v>
      </c>
      <c r="M199" s="35"/>
      <c r="N199" s="35"/>
      <c r="O199" s="35"/>
      <c r="P199" s="35">
        <f>P197+P198</f>
        <v>2258.75</v>
      </c>
      <c r="Q199" s="35"/>
      <c r="R199" s="35">
        <f>SUM(R196:R198)</f>
        <v>17594.25</v>
      </c>
      <c r="S199" s="36">
        <f>SUM(S196:S198)</f>
        <v>199131</v>
      </c>
    </row>
    <row r="200" spans="1:19" ht="24" customHeight="1" x14ac:dyDescent="0.25">
      <c r="A200" s="15"/>
      <c r="B200" s="55" t="s">
        <v>280</v>
      </c>
      <c r="C200" s="85"/>
      <c r="D200" s="85"/>
      <c r="E200" s="94"/>
      <c r="F200" s="85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  <c r="R200" s="94"/>
      <c r="S200" s="110"/>
    </row>
    <row r="201" spans="1:19" x14ac:dyDescent="0.25">
      <c r="A201" s="20" t="s">
        <v>281</v>
      </c>
      <c r="B201" s="21" t="s">
        <v>130</v>
      </c>
      <c r="C201" s="22">
        <v>0.5</v>
      </c>
      <c r="D201" s="22">
        <v>8</v>
      </c>
      <c r="E201" s="23">
        <v>2620</v>
      </c>
      <c r="F201" s="22"/>
      <c r="G201" s="23">
        <f t="shared" ref="G201:G203" si="85">E201+F201</f>
        <v>2620</v>
      </c>
      <c r="H201" s="23"/>
      <c r="I201" s="23"/>
      <c r="J201" s="23"/>
      <c r="K201" s="23">
        <f>G201*0.3</f>
        <v>786</v>
      </c>
      <c r="L201" s="23">
        <f>R201-K201-G201</f>
        <v>3344</v>
      </c>
      <c r="M201" s="23"/>
      <c r="N201" s="23"/>
      <c r="O201" s="23"/>
      <c r="P201" s="23"/>
      <c r="Q201" s="23"/>
      <c r="R201" s="23">
        <v>6750</v>
      </c>
      <c r="S201" s="25">
        <f>R201*12</f>
        <v>81000</v>
      </c>
    </row>
    <row r="202" spans="1:19" s="38" customFormat="1" x14ac:dyDescent="0.25">
      <c r="A202" s="20" t="s">
        <v>282</v>
      </c>
      <c r="B202" s="21" t="s">
        <v>134</v>
      </c>
      <c r="C202" s="22">
        <v>0.5</v>
      </c>
      <c r="D202" s="22">
        <v>3</v>
      </c>
      <c r="E202" s="23">
        <v>1885</v>
      </c>
      <c r="F202" s="22"/>
      <c r="G202" s="23">
        <f t="shared" si="85"/>
        <v>1885</v>
      </c>
      <c r="H202" s="23"/>
      <c r="I202" s="23">
        <f>G202*0.1</f>
        <v>188.5</v>
      </c>
      <c r="J202" s="23"/>
      <c r="K202" s="23"/>
      <c r="L202" s="23"/>
      <c r="M202" s="23"/>
      <c r="N202" s="23"/>
      <c r="O202" s="23"/>
      <c r="P202" s="23">
        <f>8000/2-G202</f>
        <v>2115</v>
      </c>
      <c r="Q202" s="23"/>
      <c r="R202" s="23">
        <f>SUM(G202:Q202)</f>
        <v>4188.5</v>
      </c>
      <c r="S202" s="25">
        <f>R202*12</f>
        <v>50262</v>
      </c>
    </row>
    <row r="203" spans="1:19" s="27" customFormat="1" ht="13.8" thickBot="1" x14ac:dyDescent="0.3">
      <c r="A203" s="64"/>
      <c r="B203" s="47" t="s">
        <v>59</v>
      </c>
      <c r="C203" s="34">
        <f>SUM(C201:C202)</f>
        <v>1</v>
      </c>
      <c r="D203" s="34"/>
      <c r="E203" s="35">
        <f>SUM(E201:E202)</f>
        <v>4505</v>
      </c>
      <c r="F203" s="34">
        <f>SUM(F201:F202)</f>
        <v>0</v>
      </c>
      <c r="G203" s="35">
        <f t="shared" si="85"/>
        <v>4505</v>
      </c>
      <c r="H203" s="35"/>
      <c r="I203" s="35">
        <f>SUM(I202)</f>
        <v>188.5</v>
      </c>
      <c r="J203" s="35"/>
      <c r="K203" s="35">
        <f>SUM(K201:K202)</f>
        <v>786</v>
      </c>
      <c r="L203" s="35">
        <f>SUM(L201:L202)</f>
        <v>3344</v>
      </c>
      <c r="M203" s="35"/>
      <c r="N203" s="35"/>
      <c r="O203" s="35"/>
      <c r="P203" s="35">
        <f>SUM(P202)</f>
        <v>2115</v>
      </c>
      <c r="Q203" s="35"/>
      <c r="R203" s="35">
        <f>SUM(R201:R202)</f>
        <v>10938.5</v>
      </c>
      <c r="S203" s="36">
        <f>SUM(S201:S202)</f>
        <v>131262</v>
      </c>
    </row>
    <row r="204" spans="1:19" ht="18" customHeight="1" x14ac:dyDescent="0.25">
      <c r="A204" s="15"/>
      <c r="B204" s="55" t="s">
        <v>283</v>
      </c>
      <c r="C204" s="85"/>
      <c r="D204" s="85"/>
      <c r="E204" s="94"/>
      <c r="F204" s="85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110"/>
    </row>
    <row r="205" spans="1:19" s="13" customFormat="1" x14ac:dyDescent="0.25">
      <c r="A205" s="20" t="s">
        <v>284</v>
      </c>
      <c r="B205" s="66" t="s">
        <v>130</v>
      </c>
      <c r="C205" s="22">
        <v>0.5</v>
      </c>
      <c r="D205" s="22">
        <v>10</v>
      </c>
      <c r="E205" s="23">
        <v>2907.5</v>
      </c>
      <c r="F205" s="22"/>
      <c r="G205" s="23">
        <f t="shared" ref="G205:G208" si="86">E205+F205</f>
        <v>2907.5</v>
      </c>
      <c r="H205" s="23"/>
      <c r="I205" s="23"/>
      <c r="J205" s="23"/>
      <c r="K205" s="23">
        <f>G205*0.3</f>
        <v>872.25</v>
      </c>
      <c r="L205" s="23">
        <f>13500/2-G205-K205</f>
        <v>2970.25</v>
      </c>
      <c r="M205" s="23"/>
      <c r="N205" s="23"/>
      <c r="O205" s="23"/>
      <c r="P205" s="23"/>
      <c r="Q205" s="23"/>
      <c r="R205" s="23">
        <f>G205+K205+L205</f>
        <v>6750</v>
      </c>
      <c r="S205" s="25">
        <f>R205*12</f>
        <v>81000</v>
      </c>
    </row>
    <row r="206" spans="1:19" x14ac:dyDescent="0.25">
      <c r="A206" s="20" t="s">
        <v>285</v>
      </c>
      <c r="B206" s="21" t="s">
        <v>134</v>
      </c>
      <c r="C206" s="22">
        <v>0.5</v>
      </c>
      <c r="D206" s="22">
        <v>3</v>
      </c>
      <c r="E206" s="23">
        <v>1885</v>
      </c>
      <c r="F206" s="22"/>
      <c r="G206" s="23">
        <f t="shared" si="86"/>
        <v>1885</v>
      </c>
      <c r="H206" s="23"/>
      <c r="I206" s="23">
        <f>G206*0.1</f>
        <v>188.5</v>
      </c>
      <c r="J206" s="23"/>
      <c r="K206" s="23"/>
      <c r="L206" s="23"/>
      <c r="M206" s="23"/>
      <c r="N206" s="23"/>
      <c r="O206" s="23"/>
      <c r="P206" s="23">
        <f>8000/2-G206</f>
        <v>2115</v>
      </c>
      <c r="Q206" s="23"/>
      <c r="R206" s="23">
        <f>SUM(G206:Q206)</f>
        <v>4188.5</v>
      </c>
      <c r="S206" s="25">
        <f>R206*12</f>
        <v>50262</v>
      </c>
    </row>
    <row r="207" spans="1:19" x14ac:dyDescent="0.25">
      <c r="A207" s="20" t="s">
        <v>286</v>
      </c>
      <c r="B207" s="21" t="s">
        <v>227</v>
      </c>
      <c r="C207" s="22">
        <v>1</v>
      </c>
      <c r="D207" s="22">
        <v>1</v>
      </c>
      <c r="E207" s="23">
        <v>3195</v>
      </c>
      <c r="F207" s="22"/>
      <c r="G207" s="23">
        <f t="shared" si="86"/>
        <v>3195</v>
      </c>
      <c r="H207" s="23"/>
      <c r="I207" s="23"/>
      <c r="J207" s="23"/>
      <c r="K207" s="23"/>
      <c r="L207" s="23"/>
      <c r="M207" s="23"/>
      <c r="N207" s="23"/>
      <c r="O207" s="23"/>
      <c r="P207" s="23">
        <f>8000-G207</f>
        <v>4805</v>
      </c>
      <c r="Q207" s="23"/>
      <c r="R207" s="23">
        <f>E207+P207</f>
        <v>8000</v>
      </c>
      <c r="S207" s="25">
        <f>R207*6</f>
        <v>48000</v>
      </c>
    </row>
    <row r="208" spans="1:19" s="49" customFormat="1" ht="16.8" customHeight="1" thickBot="1" x14ac:dyDescent="0.3">
      <c r="A208" s="118"/>
      <c r="B208" s="47" t="s">
        <v>59</v>
      </c>
      <c r="C208" s="34">
        <f>SUM(C205:C207)</f>
        <v>2</v>
      </c>
      <c r="D208" s="34"/>
      <c r="E208" s="35">
        <f>SUM(E205:E207)</f>
        <v>7987.5</v>
      </c>
      <c r="F208" s="34">
        <f>SUM(F205:F207)</f>
        <v>0</v>
      </c>
      <c r="G208" s="35">
        <f t="shared" si="86"/>
        <v>7987.5</v>
      </c>
      <c r="H208" s="35"/>
      <c r="I208" s="35">
        <f>SUM(I206:I207)</f>
        <v>188.5</v>
      </c>
      <c r="J208" s="35"/>
      <c r="K208" s="35">
        <f>SUM(K205:K207)</f>
        <v>872.25</v>
      </c>
      <c r="L208" s="35">
        <f>SUM(L205:L207)</f>
        <v>2970.25</v>
      </c>
      <c r="M208" s="35"/>
      <c r="N208" s="35"/>
      <c r="O208" s="35"/>
      <c r="P208" s="35">
        <f>P206+P207</f>
        <v>6920</v>
      </c>
      <c r="Q208" s="35"/>
      <c r="R208" s="35">
        <f>SUM(R205:R207)</f>
        <v>18938.5</v>
      </c>
      <c r="S208" s="36">
        <f>SUM(S205:S207)</f>
        <v>179262</v>
      </c>
    </row>
    <row r="209" spans="1:20" ht="21" customHeight="1" x14ac:dyDescent="0.25">
      <c r="A209" s="15"/>
      <c r="B209" s="55" t="s">
        <v>287</v>
      </c>
      <c r="C209" s="85"/>
      <c r="D209" s="85"/>
      <c r="E209" s="94"/>
      <c r="F209" s="85"/>
      <c r="G209" s="94"/>
      <c r="H209" s="94"/>
      <c r="I209" s="94"/>
      <c r="J209" s="94"/>
      <c r="K209" s="94"/>
      <c r="L209" s="94"/>
      <c r="M209" s="94"/>
      <c r="N209" s="94"/>
      <c r="O209" s="94"/>
      <c r="P209" s="94"/>
      <c r="Q209" s="94"/>
      <c r="R209" s="94"/>
      <c r="S209" s="110"/>
    </row>
    <row r="210" spans="1:20" x14ac:dyDescent="0.25">
      <c r="A210" s="20" t="s">
        <v>288</v>
      </c>
      <c r="B210" s="21" t="s">
        <v>220</v>
      </c>
      <c r="C210" s="22">
        <v>1</v>
      </c>
      <c r="D210" s="22">
        <v>10</v>
      </c>
      <c r="E210" s="23">
        <v>5815</v>
      </c>
      <c r="F210" s="22"/>
      <c r="G210" s="23">
        <f t="shared" ref="G210:G214" si="87">E210+F210</f>
        <v>5815</v>
      </c>
      <c r="H210" s="23"/>
      <c r="I210" s="23"/>
      <c r="J210" s="23"/>
      <c r="K210" s="23">
        <f>G210*0.3</f>
        <v>1744.5</v>
      </c>
      <c r="L210" s="23">
        <f>R210-K210-G210</f>
        <v>5940.5</v>
      </c>
      <c r="M210" s="23"/>
      <c r="N210" s="23"/>
      <c r="O210" s="23"/>
      <c r="P210" s="23"/>
      <c r="Q210" s="23"/>
      <c r="R210" s="23">
        <v>13500</v>
      </c>
      <c r="S210" s="25">
        <f>R210*12</f>
        <v>162000</v>
      </c>
    </row>
    <row r="211" spans="1:20" x14ac:dyDescent="0.25">
      <c r="A211" s="20" t="s">
        <v>289</v>
      </c>
      <c r="B211" s="21" t="s">
        <v>130</v>
      </c>
      <c r="C211" s="22">
        <v>1</v>
      </c>
      <c r="D211" s="22">
        <v>7</v>
      </c>
      <c r="E211" s="23">
        <v>4920</v>
      </c>
      <c r="F211" s="22"/>
      <c r="G211" s="23">
        <f t="shared" si="87"/>
        <v>4920</v>
      </c>
      <c r="H211" s="23"/>
      <c r="I211" s="23">
        <f>G211*0.1</f>
        <v>492</v>
      </c>
      <c r="J211" s="23"/>
      <c r="K211" s="23">
        <f>G211*0.3</f>
        <v>1476</v>
      </c>
      <c r="L211" s="23">
        <f>13500-G211-I211-K211</f>
        <v>6612</v>
      </c>
      <c r="M211" s="23"/>
      <c r="N211" s="23"/>
      <c r="O211" s="23"/>
      <c r="P211" s="23"/>
      <c r="Q211" s="23"/>
      <c r="R211" s="23">
        <f>G211+I211+K211+L211</f>
        <v>13500</v>
      </c>
      <c r="S211" s="25">
        <f t="shared" ref="S211:S212" si="88">R211*12</f>
        <v>162000</v>
      </c>
    </row>
    <row r="212" spans="1:20" x14ac:dyDescent="0.25">
      <c r="A212" s="20" t="s">
        <v>290</v>
      </c>
      <c r="B212" s="21" t="s">
        <v>134</v>
      </c>
      <c r="C212" s="22">
        <v>0.5</v>
      </c>
      <c r="D212" s="22">
        <v>3</v>
      </c>
      <c r="E212" s="23">
        <v>1885</v>
      </c>
      <c r="F212" s="22"/>
      <c r="G212" s="23">
        <f t="shared" si="87"/>
        <v>1885</v>
      </c>
      <c r="H212" s="23"/>
      <c r="I212" s="23">
        <f>G212*0.1</f>
        <v>188.5</v>
      </c>
      <c r="J212" s="23"/>
      <c r="K212" s="23"/>
      <c r="L212" s="23"/>
      <c r="M212" s="23"/>
      <c r="N212" s="23"/>
      <c r="O212" s="23"/>
      <c r="P212" s="23">
        <f>8000/2-G212</f>
        <v>2115</v>
      </c>
      <c r="Q212" s="23"/>
      <c r="R212" s="23">
        <f>SUM(G212:Q212)</f>
        <v>4188.5</v>
      </c>
      <c r="S212" s="25">
        <f t="shared" si="88"/>
        <v>50262</v>
      </c>
    </row>
    <row r="213" spans="1:20" x14ac:dyDescent="0.25">
      <c r="A213" s="20" t="s">
        <v>291</v>
      </c>
      <c r="B213" s="21" t="s">
        <v>227</v>
      </c>
      <c r="C213" s="22">
        <v>1.5</v>
      </c>
      <c r="D213" s="22">
        <v>1</v>
      </c>
      <c r="E213" s="23">
        <f>3195*C213</f>
        <v>4792.5</v>
      </c>
      <c r="F213" s="22"/>
      <c r="G213" s="23">
        <f t="shared" si="87"/>
        <v>4792.5</v>
      </c>
      <c r="H213" s="23"/>
      <c r="I213" s="23"/>
      <c r="J213" s="23"/>
      <c r="K213" s="23"/>
      <c r="L213" s="23"/>
      <c r="M213" s="23"/>
      <c r="N213" s="23"/>
      <c r="O213" s="23"/>
      <c r="P213" s="23">
        <f>8000*C213-G213</f>
        <v>7207.5</v>
      </c>
      <c r="Q213" s="23"/>
      <c r="R213" s="23">
        <f>E213+P213</f>
        <v>12000</v>
      </c>
      <c r="S213" s="25">
        <f>R213*6</f>
        <v>72000</v>
      </c>
    </row>
    <row r="214" spans="1:20" s="27" customFormat="1" ht="16.5" customHeight="1" thickBot="1" x14ac:dyDescent="0.3">
      <c r="A214" s="64"/>
      <c r="B214" s="47" t="s">
        <v>59</v>
      </c>
      <c r="C214" s="34">
        <f>SUM(C210:C213)</f>
        <v>4</v>
      </c>
      <c r="D214" s="34"/>
      <c r="E214" s="35">
        <f>SUM(E210:E213)</f>
        <v>17412.5</v>
      </c>
      <c r="F214" s="34">
        <f>SUM(F210:F213)</f>
        <v>0</v>
      </c>
      <c r="G214" s="35">
        <f t="shared" si="87"/>
        <v>17412.5</v>
      </c>
      <c r="H214" s="35"/>
      <c r="I214" s="35">
        <f>SUM(I211:I213)</f>
        <v>680.5</v>
      </c>
      <c r="J214" s="35"/>
      <c r="K214" s="35">
        <f>K210+K211</f>
        <v>3220.5</v>
      </c>
      <c r="L214" s="35">
        <f>L210+L211</f>
        <v>12552.5</v>
      </c>
      <c r="M214" s="35"/>
      <c r="N214" s="35"/>
      <c r="O214" s="35"/>
      <c r="P214" s="35">
        <f>SUM(P210:P213)</f>
        <v>9322.5</v>
      </c>
      <c r="Q214" s="35"/>
      <c r="R214" s="35">
        <f>SUM(R210:R213)</f>
        <v>43188.5</v>
      </c>
      <c r="S214" s="36">
        <f>SUM(S210:S213)</f>
        <v>446262</v>
      </c>
    </row>
    <row r="215" spans="1:20" s="13" customFormat="1" ht="22.2" customHeight="1" x14ac:dyDescent="0.2">
      <c r="A215" s="18"/>
      <c r="B215" s="55" t="s">
        <v>292</v>
      </c>
      <c r="C215" s="85"/>
      <c r="D215" s="85"/>
      <c r="E215" s="94"/>
      <c r="F215" s="85"/>
      <c r="G215" s="94"/>
      <c r="H215" s="94"/>
      <c r="I215" s="94"/>
      <c r="J215" s="94"/>
      <c r="K215" s="94"/>
      <c r="L215" s="94"/>
      <c r="M215" s="94"/>
      <c r="N215" s="94"/>
      <c r="O215" s="94"/>
      <c r="P215" s="94"/>
      <c r="Q215" s="94"/>
      <c r="R215" s="94"/>
      <c r="S215" s="110"/>
    </row>
    <row r="216" spans="1:20" x14ac:dyDescent="0.25">
      <c r="A216" s="20" t="s">
        <v>293</v>
      </c>
      <c r="B216" s="21" t="s">
        <v>220</v>
      </c>
      <c r="C216" s="22">
        <v>1</v>
      </c>
      <c r="D216" s="22">
        <v>10</v>
      </c>
      <c r="E216" s="23">
        <v>5815</v>
      </c>
      <c r="F216" s="22"/>
      <c r="G216" s="23">
        <f t="shared" ref="G216:G218" si="89">E216+F216</f>
        <v>5815</v>
      </c>
      <c r="H216" s="23"/>
      <c r="I216" s="23"/>
      <c r="J216" s="23"/>
      <c r="K216" s="23">
        <f>G216*0.3</f>
        <v>1744.5</v>
      </c>
      <c r="L216" s="23">
        <f>R216-K216-G216</f>
        <v>5940.5</v>
      </c>
      <c r="M216" s="23"/>
      <c r="N216" s="23"/>
      <c r="O216" s="23"/>
      <c r="P216" s="23"/>
      <c r="Q216" s="23"/>
      <c r="R216" s="23">
        <v>13500</v>
      </c>
      <c r="S216" s="25">
        <f>R216*12</f>
        <v>162000</v>
      </c>
    </row>
    <row r="217" spans="1:20" s="38" customFormat="1" x14ac:dyDescent="0.25">
      <c r="A217" s="20" t="s">
        <v>294</v>
      </c>
      <c r="B217" s="21" t="s">
        <v>134</v>
      </c>
      <c r="C217" s="22">
        <v>0.5</v>
      </c>
      <c r="D217" s="22">
        <v>3</v>
      </c>
      <c r="E217" s="23">
        <v>1885</v>
      </c>
      <c r="F217" s="22"/>
      <c r="G217" s="23">
        <f t="shared" si="89"/>
        <v>1885</v>
      </c>
      <c r="H217" s="23"/>
      <c r="I217" s="23">
        <f>G217*0.1</f>
        <v>188.5</v>
      </c>
      <c r="J217" s="23"/>
      <c r="K217" s="23"/>
      <c r="L217" s="23"/>
      <c r="M217" s="23"/>
      <c r="N217" s="23"/>
      <c r="O217" s="23"/>
      <c r="P217" s="23">
        <f>8000/2-G217</f>
        <v>2115</v>
      </c>
      <c r="Q217" s="23"/>
      <c r="R217" s="23">
        <f>SUM(G217:Q217)</f>
        <v>4188.5</v>
      </c>
      <c r="S217" s="25">
        <f>R217*12</f>
        <v>50262</v>
      </c>
      <c r="T217" s="46"/>
    </row>
    <row r="218" spans="1:20" s="27" customFormat="1" ht="18" customHeight="1" thickBot="1" x14ac:dyDescent="0.3">
      <c r="A218" s="64"/>
      <c r="B218" s="47" t="s">
        <v>59</v>
      </c>
      <c r="C218" s="34">
        <f>SUM(C216:C217)</f>
        <v>1.5</v>
      </c>
      <c r="D218" s="34"/>
      <c r="E218" s="35">
        <f>SUM(E216:E217)</f>
        <v>7700</v>
      </c>
      <c r="F218" s="34">
        <f>SUM(F216:F217)</f>
        <v>0</v>
      </c>
      <c r="G218" s="35">
        <f t="shared" si="89"/>
        <v>7700</v>
      </c>
      <c r="H218" s="35"/>
      <c r="I218" s="35">
        <f>SUM(I217)</f>
        <v>188.5</v>
      </c>
      <c r="J218" s="35"/>
      <c r="K218" s="35">
        <f>SUM(K216:K217)</f>
        <v>1744.5</v>
      </c>
      <c r="L218" s="35">
        <f>SUM(L216:L217)</f>
        <v>5940.5</v>
      </c>
      <c r="M218" s="35"/>
      <c r="N218" s="35"/>
      <c r="O218" s="35"/>
      <c r="P218" s="35">
        <f>SUM(P217)</f>
        <v>2115</v>
      </c>
      <c r="Q218" s="35"/>
      <c r="R218" s="35">
        <f>SUM(R216:R217)</f>
        <v>17688.5</v>
      </c>
      <c r="S218" s="36">
        <f>SUM(S216:S217)</f>
        <v>212262</v>
      </c>
    </row>
    <row r="219" spans="1:20" ht="22.2" customHeight="1" x14ac:dyDescent="0.25">
      <c r="A219" s="15"/>
      <c r="B219" s="55" t="s">
        <v>295</v>
      </c>
      <c r="C219" s="85"/>
      <c r="D219" s="85"/>
      <c r="E219" s="94"/>
      <c r="F219" s="85"/>
      <c r="G219" s="94"/>
      <c r="H219" s="94"/>
      <c r="I219" s="94"/>
      <c r="J219" s="94"/>
      <c r="K219" s="94"/>
      <c r="L219" s="94"/>
      <c r="M219" s="94"/>
      <c r="N219" s="94"/>
      <c r="O219" s="94"/>
      <c r="P219" s="94"/>
      <c r="Q219" s="94"/>
      <c r="R219" s="94"/>
      <c r="S219" s="110"/>
    </row>
    <row r="220" spans="1:20" x14ac:dyDescent="0.25">
      <c r="A220" s="20" t="s">
        <v>296</v>
      </c>
      <c r="B220" s="21" t="s">
        <v>130</v>
      </c>
      <c r="C220" s="22">
        <v>0.5</v>
      </c>
      <c r="D220" s="22">
        <v>10</v>
      </c>
      <c r="E220" s="23">
        <v>2907.5</v>
      </c>
      <c r="F220" s="22"/>
      <c r="G220" s="23">
        <f t="shared" ref="G220:G222" si="90">E220+F220</f>
        <v>2907.5</v>
      </c>
      <c r="H220" s="23"/>
      <c r="I220" s="23"/>
      <c r="J220" s="23"/>
      <c r="K220" s="23">
        <f>G220*0.3</f>
        <v>872.25</v>
      </c>
      <c r="L220" s="23">
        <f>13500/2-G220-K220</f>
        <v>2970.25</v>
      </c>
      <c r="M220" s="23"/>
      <c r="N220" s="23"/>
      <c r="O220" s="23"/>
      <c r="P220" s="23"/>
      <c r="Q220" s="23"/>
      <c r="R220" s="23">
        <f>G220+K220+L220</f>
        <v>6750</v>
      </c>
      <c r="S220" s="25">
        <f>R220*12</f>
        <v>81000</v>
      </c>
    </row>
    <row r="221" spans="1:20" s="38" customFormat="1" x14ac:dyDescent="0.25">
      <c r="A221" s="20" t="s">
        <v>297</v>
      </c>
      <c r="B221" s="21" t="s">
        <v>134</v>
      </c>
      <c r="C221" s="22">
        <v>0.25</v>
      </c>
      <c r="D221" s="22">
        <v>3</v>
      </c>
      <c r="E221" s="23">
        <v>942.5</v>
      </c>
      <c r="F221" s="22"/>
      <c r="G221" s="23">
        <f t="shared" si="90"/>
        <v>942.5</v>
      </c>
      <c r="H221" s="23"/>
      <c r="I221" s="23">
        <f>G221*0.1</f>
        <v>94.25</v>
      </c>
      <c r="J221" s="23"/>
      <c r="K221" s="23"/>
      <c r="L221" s="23"/>
      <c r="M221" s="23"/>
      <c r="N221" s="23"/>
      <c r="O221" s="23"/>
      <c r="P221" s="23">
        <f>8000*0.25-G221</f>
        <v>1057.5</v>
      </c>
      <c r="Q221" s="23"/>
      <c r="R221" s="23">
        <f>E221+I221+P221</f>
        <v>2094.25</v>
      </c>
      <c r="S221" s="25">
        <f>R221*12</f>
        <v>25131</v>
      </c>
    </row>
    <row r="222" spans="1:20" s="27" customFormat="1" ht="19.2" customHeight="1" thickBot="1" x14ac:dyDescent="0.3">
      <c r="A222" s="64"/>
      <c r="B222" s="47" t="s">
        <v>59</v>
      </c>
      <c r="C222" s="34">
        <f>SUM(C220:C221)</f>
        <v>0.75</v>
      </c>
      <c r="D222" s="34"/>
      <c r="E222" s="35">
        <f>SUM(E220:E221)</f>
        <v>3850</v>
      </c>
      <c r="F222" s="34">
        <f>SUM(F220:F221)</f>
        <v>0</v>
      </c>
      <c r="G222" s="35">
        <f t="shared" si="90"/>
        <v>3850</v>
      </c>
      <c r="H222" s="35"/>
      <c r="I222" s="35">
        <f>SUM(I221)</f>
        <v>94.25</v>
      </c>
      <c r="J222" s="35"/>
      <c r="K222" s="35">
        <f>SUM(K220:K221)</f>
        <v>872.25</v>
      </c>
      <c r="L222" s="35">
        <f>SUM(L220:L221)</f>
        <v>2970.25</v>
      </c>
      <c r="M222" s="35"/>
      <c r="N222" s="35"/>
      <c r="O222" s="35"/>
      <c r="P222" s="35">
        <f>SUM(P221)</f>
        <v>1057.5</v>
      </c>
      <c r="Q222" s="35"/>
      <c r="R222" s="35">
        <f>SUM(R220:R221)</f>
        <v>8844.25</v>
      </c>
      <c r="S222" s="36">
        <f>SUM(S220:S221)</f>
        <v>106131</v>
      </c>
    </row>
    <row r="223" spans="1:20" ht="21" customHeight="1" x14ac:dyDescent="0.25">
      <c r="A223" s="15"/>
      <c r="B223" s="55" t="s">
        <v>298</v>
      </c>
      <c r="C223" s="85"/>
      <c r="D223" s="85"/>
      <c r="E223" s="94"/>
      <c r="F223" s="85"/>
      <c r="G223" s="94"/>
      <c r="H223" s="94"/>
      <c r="I223" s="94"/>
      <c r="J223" s="94"/>
      <c r="K223" s="94"/>
      <c r="L223" s="94"/>
      <c r="M223" s="94"/>
      <c r="N223" s="94"/>
      <c r="O223" s="94"/>
      <c r="P223" s="94"/>
      <c r="Q223" s="94"/>
      <c r="R223" s="94"/>
      <c r="S223" s="110"/>
    </row>
    <row r="224" spans="1:20" x14ac:dyDescent="0.25">
      <c r="A224" s="20" t="s">
        <v>299</v>
      </c>
      <c r="B224" s="21" t="s">
        <v>130</v>
      </c>
      <c r="C224" s="22">
        <v>0.5</v>
      </c>
      <c r="D224" s="22">
        <v>10</v>
      </c>
      <c r="E224" s="23">
        <v>2907.5</v>
      </c>
      <c r="F224" s="22"/>
      <c r="G224" s="23">
        <f t="shared" ref="G224:G226" si="91">E224+F224</f>
        <v>2907.5</v>
      </c>
      <c r="H224" s="23"/>
      <c r="I224" s="23"/>
      <c r="J224" s="23"/>
      <c r="K224" s="23">
        <f>G224*0.3</f>
        <v>872.25</v>
      </c>
      <c r="L224" s="23">
        <f>13500/2-G224-K224</f>
        <v>2970.25</v>
      </c>
      <c r="M224" s="23"/>
      <c r="N224" s="23"/>
      <c r="O224" s="23"/>
      <c r="P224" s="23"/>
      <c r="Q224" s="23"/>
      <c r="R224" s="23">
        <f>G224+K224+L224</f>
        <v>6750</v>
      </c>
      <c r="S224" s="25">
        <v>12</v>
      </c>
    </row>
    <row r="225" spans="1:19" s="38" customFormat="1" x14ac:dyDescent="0.25">
      <c r="A225" s="20" t="s">
        <v>300</v>
      </c>
      <c r="B225" s="21" t="s">
        <v>134</v>
      </c>
      <c r="C225" s="22">
        <v>0.25</v>
      </c>
      <c r="D225" s="22">
        <v>3</v>
      </c>
      <c r="E225" s="23">
        <v>942.5</v>
      </c>
      <c r="F225" s="22"/>
      <c r="G225" s="23">
        <f t="shared" si="91"/>
        <v>942.5</v>
      </c>
      <c r="H225" s="23"/>
      <c r="I225" s="23">
        <f>G225*0.1</f>
        <v>94.25</v>
      </c>
      <c r="J225" s="23"/>
      <c r="K225" s="23"/>
      <c r="L225" s="23"/>
      <c r="M225" s="23"/>
      <c r="N225" s="23"/>
      <c r="O225" s="23"/>
      <c r="P225" s="23">
        <f>8000*0.25-G225</f>
        <v>1057.5</v>
      </c>
      <c r="Q225" s="23"/>
      <c r="R225" s="23">
        <f>E225+I225+P225</f>
        <v>2094.25</v>
      </c>
      <c r="S225" s="25">
        <f>R225*12</f>
        <v>25131</v>
      </c>
    </row>
    <row r="226" spans="1:19" s="27" customFormat="1" ht="19.2" customHeight="1" thickBot="1" x14ac:dyDescent="0.3">
      <c r="A226" s="64"/>
      <c r="B226" s="47" t="s">
        <v>59</v>
      </c>
      <c r="C226" s="34">
        <f>SUM(C224:C225)</f>
        <v>0.75</v>
      </c>
      <c r="D226" s="34"/>
      <c r="E226" s="35">
        <f>SUM(E224:E225)</f>
        <v>3850</v>
      </c>
      <c r="F226" s="34">
        <f>SUM(F224:F225)</f>
        <v>0</v>
      </c>
      <c r="G226" s="35">
        <f t="shared" si="91"/>
        <v>3850</v>
      </c>
      <c r="H226" s="35"/>
      <c r="I226" s="35">
        <f>SUM(I225)</f>
        <v>94.25</v>
      </c>
      <c r="J226" s="35"/>
      <c r="K226" s="35">
        <f>SUM(K224:K225)</f>
        <v>872.25</v>
      </c>
      <c r="L226" s="35">
        <f>SUM(L224:L225)</f>
        <v>2970.25</v>
      </c>
      <c r="M226" s="35"/>
      <c r="N226" s="35"/>
      <c r="O226" s="35"/>
      <c r="P226" s="35">
        <f>SUM(P225)</f>
        <v>1057.5</v>
      </c>
      <c r="Q226" s="35"/>
      <c r="R226" s="35">
        <f>SUM(R224:R225)</f>
        <v>8844.25</v>
      </c>
      <c r="S226" s="36">
        <f>SUM(S224:S225)</f>
        <v>25143</v>
      </c>
    </row>
    <row r="227" spans="1:19" s="49" customFormat="1" ht="23.25" customHeight="1" thickBot="1" x14ac:dyDescent="0.3">
      <c r="A227" s="67"/>
      <c r="B227" s="119" t="s">
        <v>301</v>
      </c>
      <c r="C227" s="120">
        <f>C27+C36+C44+C39+C52+C58+C79+C120+C108+C114+C133+C144+C150+C157+C164+C173+C178+C218+C214+C208+C194+C199+C222+C226+C184+C203+C189+C137</f>
        <v>190.5</v>
      </c>
      <c r="D227" s="121"/>
      <c r="E227" s="120">
        <f>E27+E36+E44+E39+E52+E58+E79+E120+E108+E114+E133+E144+E150+E157+E164+E173+E178+E214+E218+E208+E194+E199+E222+E184+E203+E189+E137+E226</f>
        <v>1093484</v>
      </c>
      <c r="F227" s="120">
        <f>F27+F36+F44+F39+F58+F79+F120+F108+F114+F133+F144+F150+F157+F164+F173+F178+F214+F218+F208+F194+F199+F222+F184+F203+F189+F137</f>
        <v>31397.7</v>
      </c>
      <c r="G227" s="120">
        <f>G27+G36+G44+G39+G52+G58+G79+G120+G108+G114+G133+G144+G150+G157+G164+G173+G178+G214+G218+G208+G194+G199+G222+G184+G203+G189+G137</f>
        <v>1121031.7000000002</v>
      </c>
      <c r="H227" s="120">
        <f>H27+H137</f>
        <v>23683.75</v>
      </c>
      <c r="I227" s="120">
        <f>I36+I44+I79+I120+I108+I114+I133+I144+I150+I157+I164+I173+I178+I214+I218+I208+I194+I199+I222+I184+I203+I189+I137</f>
        <v>26582.705000000002</v>
      </c>
      <c r="J227" s="120">
        <f>J36+J44+J137</f>
        <v>491.82400000000001</v>
      </c>
      <c r="K227" s="120">
        <f>K27+K52+K58+K79+K120+K108+K114+K133+K144+K150+K157+K164+K173+K178+K214+K218+K208+K194+K199+K222+K184+K203+K189+K137</f>
        <v>221222.75999999995</v>
      </c>
      <c r="L227" s="120">
        <f>L52+L58+L79+L120+L108+L114+L133+L144+L150+L157+L164+L173+L178+L214+L218+L208+L194+L199+L222+L184+L203+L189+L137</f>
        <v>852359.92999999982</v>
      </c>
      <c r="M227" s="120">
        <f>M27</f>
        <v>3750</v>
      </c>
      <c r="N227" s="120">
        <f>N79+N120+N137</f>
        <v>25557.735000000001</v>
      </c>
      <c r="O227" s="120">
        <f>O27+O52+O137</f>
        <v>141900.25</v>
      </c>
      <c r="P227" s="120">
        <f>P36+P44+P39+P52+P58+P79+P120+P108+P114+P133+P144+P150+P157+P164+P173+P178+P214+P218+P208+P194+P199+P222+P184+P203+P189+P137</f>
        <v>251885.75</v>
      </c>
      <c r="Q227" s="120"/>
      <c r="R227" s="120">
        <f>R27+R36+R44+R39+R52+R58+R79+R120+R108+R114+R133+R144+R150+R157+R164+R173+R178+R214+R218+R208+R194+R199+R222+R184+R203+R189+R137+R226</f>
        <v>2677076.3539999998</v>
      </c>
      <c r="S227" s="122">
        <f>S27+S36+S39+S44+S52+S58+S79+S108+S114+S120+S133+S144+S150+S157+S164+S173+S178+S214+S218+S208+S194+S199+S222+S184+S203+S189+S137+S226</f>
        <v>31767928.248</v>
      </c>
    </row>
    <row r="228" spans="1:19" ht="12.6" thickBot="1" x14ac:dyDescent="0.3">
      <c r="F228" s="13"/>
      <c r="I228" s="68"/>
    </row>
    <row r="229" spans="1:19" ht="15.6" customHeight="1" x14ac:dyDescent="0.25">
      <c r="B229" s="69" t="s">
        <v>302</v>
      </c>
      <c r="C229" s="70">
        <f>C46+C47+C54+C55+C56+C61+C62+C63+C64+C65+C66+C116+C117+C81+C82+C83+C84+C85+C86+C87+C97+C92+C88+C93+C89+C72+C95+C94+C91+C90+C98+C96+C99+C110+C111+C126+C122+C127+C128+C139+C146+C152+C159+C166+C167+C168+C175+C134+C67+C68+C69+C70+C71</f>
        <v>49.75</v>
      </c>
      <c r="D229" s="70"/>
      <c r="E229" s="70">
        <f t="shared" ref="E229:S229" si="92">E46+E47+E54+E55+E56+E61+E62+E63+E64+E65+E66+E116+E117+E81+E82+E83+E84+E85+E86+E87+E97+E92+E88+E93+E89+E72+E95+E94+E91+E90+E98+E96+E99+E110+E111+E126+E122+E127+E128+E139+E146+E152+E159+E166+E167+E168+E175+E134+E67+E68+E69+E70+E71</f>
        <v>350011.75</v>
      </c>
      <c r="F229" s="70"/>
      <c r="G229" s="70"/>
      <c r="H229" s="70"/>
      <c r="I229" s="70"/>
      <c r="J229" s="70"/>
      <c r="K229" s="70"/>
      <c r="L229" s="70"/>
      <c r="M229" s="70"/>
      <c r="N229" s="70"/>
      <c r="O229" s="70"/>
      <c r="P229" s="70"/>
      <c r="Q229" s="70">
        <f t="shared" si="92"/>
        <v>0</v>
      </c>
      <c r="R229" s="70">
        <f t="shared" si="92"/>
        <v>959000</v>
      </c>
      <c r="S229" s="88">
        <f t="shared" si="92"/>
        <v>11508000</v>
      </c>
    </row>
    <row r="230" spans="1:19" ht="15.6" customHeight="1" x14ac:dyDescent="0.25">
      <c r="B230" s="71" t="s">
        <v>303</v>
      </c>
      <c r="C230" s="72">
        <f>C17+C48+C51+C73+C74+C75+C118+C100+C103+C104+C101+C102+C105+C112+C123+C129+C130+C131+C140+C147+C148+C153+C154+C160+C161+C169+C170+C176+C211+C210+C216+C205+C191+C196+C220+C181+C201+C186+C135+C224</f>
        <v>69</v>
      </c>
      <c r="D230" s="72"/>
      <c r="E230" s="72">
        <f t="shared" ref="E230:S230" si="93">E17+E48+E51+E73+E74+E75+E118+E100+E103+E104+E101+E102+E105+E112+E123+E129+E130+E131+E140+E147+E148+E153+E154+E160+E161+E169+E170+E176+E211+E210+E216+E205+E191+E196+E220+E181+E201+E186+E135+E224</f>
        <v>387386</v>
      </c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>
        <f t="shared" si="93"/>
        <v>0</v>
      </c>
      <c r="R230" s="72">
        <f t="shared" si="93"/>
        <v>940097</v>
      </c>
      <c r="S230" s="89">
        <f t="shared" si="93"/>
        <v>11200176</v>
      </c>
    </row>
    <row r="231" spans="1:19" ht="15.6" customHeight="1" x14ac:dyDescent="0.25">
      <c r="B231" s="71" t="s">
        <v>304</v>
      </c>
      <c r="C231" s="72">
        <f>C76+C77+C119+C107+C113+C132+C141+C149+C155+C162+C171+C177+C212+C217+C206+C192+C197+C221+C182+C202+C187+C225</f>
        <v>26.5</v>
      </c>
      <c r="D231" s="72"/>
      <c r="E231" s="72">
        <f t="shared" ref="E231:S231" si="94">E76+E77+E119+E107+E113+E132+E141+E149+E155+E162+E171+E177+E212+E217+E206+E192+E197+E221+E182+E202+E187+E225</f>
        <v>102641</v>
      </c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>
        <f t="shared" si="94"/>
        <v>0</v>
      </c>
      <c r="R231" s="72">
        <f t="shared" si="94"/>
        <v>229368.28</v>
      </c>
      <c r="S231" s="89">
        <f t="shared" si="94"/>
        <v>2752419.3600000003</v>
      </c>
    </row>
    <row r="232" spans="1:19" ht="15.6" customHeight="1" x14ac:dyDescent="0.25">
      <c r="B232" s="71" t="s">
        <v>305</v>
      </c>
      <c r="C232" s="72">
        <f>C14+C15+C16+C18+C19+C20+C21+C22+C23+C24+C25+C26+C29+C30+C31+C32+C33+C34+C35+C41+C42+C43+C38+C49+C50+C57+C78+C106+C142+C143+C156+C163+C172+C213+C207+C193+C198+C183+C188+C136</f>
        <v>45.25</v>
      </c>
      <c r="D232" s="72"/>
      <c r="E232" s="72">
        <f t="shared" ref="E232:S232" si="95">E14+E15+E16+E18+E19+E20+E21+E22+E23+E24+E25+E26+E29+E30+E31+E32+E33+E34+E35+E41+E42+E43+E38+E49+E50+E57+E78+E106+E142+E143+E156+E163+E172+E213+E207+E193+E198+E183+E188+E136</f>
        <v>253445.25</v>
      </c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>
        <f t="shared" si="95"/>
        <v>0</v>
      </c>
      <c r="R232" s="72">
        <f t="shared" si="95"/>
        <v>548611.07400000002</v>
      </c>
      <c r="S232" s="89">
        <f t="shared" si="95"/>
        <v>6307332.8879999993</v>
      </c>
    </row>
    <row r="233" spans="1:19" ht="12.6" thickBot="1" x14ac:dyDescent="0.3">
      <c r="B233" s="73" t="s">
        <v>306</v>
      </c>
      <c r="C233" s="74">
        <f>SUBTOTAL(9,C229:C232)</f>
        <v>190.5</v>
      </c>
      <c r="D233" s="74"/>
      <c r="E233" s="74">
        <f>SUBTOTAL(9,E229:E232)</f>
        <v>1093484</v>
      </c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>
        <f t="shared" ref="Q233:S233" si="96">SUBTOTAL(9,Q229:Q232)</f>
        <v>0</v>
      </c>
      <c r="R233" s="75">
        <f>R229+R230+R231+R232</f>
        <v>2677076.3539999998</v>
      </c>
      <c r="S233" s="76">
        <f t="shared" si="96"/>
        <v>31767928.248</v>
      </c>
    </row>
    <row r="234" spans="1:19" ht="19.95" customHeight="1" x14ac:dyDescent="0.25">
      <c r="R234" s="53"/>
    </row>
    <row r="235" spans="1:19" ht="19.2" customHeight="1" x14ac:dyDescent="0.3">
      <c r="B235" s="77" t="s">
        <v>307</v>
      </c>
      <c r="C235" s="78"/>
      <c r="D235" s="78"/>
      <c r="E235" s="79">
        <f>E233</f>
        <v>1093484</v>
      </c>
      <c r="G235" s="80"/>
      <c r="H235" s="81"/>
      <c r="I235" s="82"/>
    </row>
    <row r="236" spans="1:19" x14ac:dyDescent="0.25">
      <c r="B236" s="77" t="s">
        <v>308</v>
      </c>
      <c r="E236" s="52">
        <f>S227+E235</f>
        <v>32861412.248</v>
      </c>
    </row>
    <row r="238" spans="1:19" ht="15.6" x14ac:dyDescent="0.3">
      <c r="C238" s="83"/>
      <c r="D238" s="83"/>
      <c r="E238" s="83"/>
      <c r="F238" s="83"/>
      <c r="G238" s="83"/>
      <c r="H238" s="83"/>
      <c r="I238" s="83"/>
      <c r="J238" s="83"/>
    </row>
    <row r="239" spans="1:19" ht="15.6" x14ac:dyDescent="0.3">
      <c r="C239" s="83" t="s">
        <v>3</v>
      </c>
      <c r="D239" s="83"/>
      <c r="E239" s="83"/>
      <c r="F239" s="83"/>
      <c r="G239" s="83"/>
      <c r="H239" s="83" t="s">
        <v>309</v>
      </c>
      <c r="I239" s="83"/>
      <c r="J239" s="83"/>
    </row>
    <row r="240" spans="1:19" ht="15.6" x14ac:dyDescent="0.3">
      <c r="C240" s="83"/>
      <c r="D240" s="83"/>
      <c r="E240" s="83"/>
      <c r="F240" s="83"/>
      <c r="G240" s="83"/>
      <c r="H240" s="83"/>
      <c r="I240" s="83"/>
      <c r="J240" s="83"/>
    </row>
    <row r="241" spans="3:10" ht="15.6" x14ac:dyDescent="0.3">
      <c r="C241" s="83"/>
      <c r="D241" s="83"/>
      <c r="E241" s="83"/>
      <c r="F241" s="83"/>
      <c r="G241" s="83"/>
      <c r="H241" s="83"/>
      <c r="I241" s="83"/>
      <c r="J241" s="83"/>
    </row>
    <row r="242" spans="3:10" ht="15.6" x14ac:dyDescent="0.3">
      <c r="C242" s="143" t="s">
        <v>39</v>
      </c>
      <c r="D242" s="143"/>
      <c r="E242" s="143"/>
      <c r="F242" s="83"/>
      <c r="G242" s="83"/>
      <c r="H242" s="83" t="s">
        <v>310</v>
      </c>
      <c r="I242" s="83"/>
      <c r="J242" s="83"/>
    </row>
    <row r="243" spans="3:10" ht="15.6" x14ac:dyDescent="0.3">
      <c r="C243" s="83"/>
      <c r="D243" s="84"/>
      <c r="E243" s="84"/>
      <c r="F243" s="83"/>
      <c r="G243" s="83"/>
      <c r="H243" s="83"/>
      <c r="I243" s="83"/>
      <c r="J243" s="83"/>
    </row>
    <row r="244" spans="3:10" ht="15.6" x14ac:dyDescent="0.3">
      <c r="C244" s="83"/>
      <c r="D244" s="83"/>
      <c r="E244" s="83"/>
      <c r="F244" s="83"/>
      <c r="G244" s="83"/>
      <c r="H244" s="83"/>
      <c r="I244" s="83"/>
      <c r="J244" s="83"/>
    </row>
    <row r="245" spans="3:10" ht="15.6" x14ac:dyDescent="0.3">
      <c r="C245" s="83" t="s">
        <v>46</v>
      </c>
      <c r="D245" s="83"/>
      <c r="E245" s="83"/>
      <c r="F245" s="83"/>
      <c r="G245" s="83"/>
      <c r="H245" s="83" t="s">
        <v>311</v>
      </c>
      <c r="I245" s="83"/>
      <c r="J245" s="83"/>
    </row>
    <row r="246" spans="3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3:10" ht="15.6" x14ac:dyDescent="0.3">
      <c r="C247" s="83"/>
      <c r="D247" s="83"/>
      <c r="E247" s="83"/>
      <c r="F247" s="83"/>
      <c r="G247" s="83"/>
      <c r="H247" s="83"/>
      <c r="I247" s="83"/>
      <c r="J247" s="83"/>
    </row>
    <row r="248" spans="3:10" ht="15.6" x14ac:dyDescent="0.3">
      <c r="C248" s="143"/>
      <c r="D248" s="144"/>
      <c r="E248" s="144"/>
      <c r="F248" s="83"/>
      <c r="G248" s="83"/>
      <c r="H248" s="83"/>
      <c r="I248" s="83"/>
      <c r="J248" s="83"/>
    </row>
    <row r="249" spans="3:10" ht="15.6" x14ac:dyDescent="0.3">
      <c r="C249" s="83"/>
      <c r="D249" s="84"/>
      <c r="E249" s="84"/>
      <c r="F249" s="83"/>
      <c r="G249" s="83"/>
      <c r="H249" s="83"/>
      <c r="I249" s="83"/>
      <c r="J249" s="83"/>
    </row>
    <row r="250" spans="3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3:10" ht="15.6" x14ac:dyDescent="0.3">
      <c r="C251" s="83"/>
      <c r="D251" s="83"/>
      <c r="E251" s="83"/>
      <c r="F251" s="83"/>
      <c r="G251" s="83"/>
      <c r="H251" s="83"/>
      <c r="I251" s="83"/>
      <c r="J251" s="83"/>
    </row>
  </sheetData>
  <mergeCells count="29">
    <mergeCell ref="A11:A12"/>
    <mergeCell ref="P11:P12"/>
    <mergeCell ref="Q11:Q12"/>
    <mergeCell ref="R11:R12"/>
    <mergeCell ref="S11:S12"/>
    <mergeCell ref="B11:B12"/>
    <mergeCell ref="C242:E242"/>
    <mergeCell ref="N11:N12"/>
    <mergeCell ref="O11:O12"/>
    <mergeCell ref="C248:E248"/>
    <mergeCell ref="G11:G12"/>
    <mergeCell ref="H11:K11"/>
    <mergeCell ref="L11:L12"/>
    <mergeCell ref="M11:M12"/>
    <mergeCell ref="C11:C12"/>
    <mergeCell ref="D11:D12"/>
    <mergeCell ref="E11:E12"/>
    <mergeCell ref="F11:F12"/>
    <mergeCell ref="M6:S6"/>
    <mergeCell ref="O8:P8"/>
    <mergeCell ref="S8:AH8"/>
    <mergeCell ref="B9:R9"/>
    <mergeCell ref="B10:R10"/>
    <mergeCell ref="B1:S1"/>
    <mergeCell ref="M2:S2"/>
    <mergeCell ref="B3:D3"/>
    <mergeCell ref="M3:S3"/>
    <mergeCell ref="B5:D5"/>
    <mergeCell ref="M5:P5"/>
  </mergeCells>
  <phoneticPr fontId="21" type="noConversion"/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FD5D2-E820-4810-95D7-FC42A36B0978}">
  <dimension ref="A1:AI252"/>
  <sheetViews>
    <sheetView topLeftCell="A4" zoomScale="80" zoomScaleNormal="80" workbookViewId="0">
      <selection activeCell="A4" sqref="A1:XFD1048576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3" width="11.33203125" style="2" customWidth="1"/>
    <col min="14" max="14" width="11.109375" style="2" customWidth="1"/>
    <col min="15" max="15" width="12.5546875" style="2" customWidth="1"/>
    <col min="16" max="16" width="10.88671875" style="2" customWidth="1"/>
    <col min="17" max="17" width="0.21875" style="2" customWidth="1"/>
    <col min="18" max="18" width="11.5546875" style="2" customWidth="1"/>
    <col min="19" max="19" width="11.886718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4"/>
      <c r="S1" s="16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63"/>
      <c r="N2" s="164"/>
      <c r="O2" s="164"/>
      <c r="P2" s="164"/>
      <c r="Q2" s="164"/>
      <c r="R2" s="164"/>
      <c r="S2" s="164"/>
    </row>
    <row r="3" spans="1:35" ht="40.799999999999997" customHeight="1" x14ac:dyDescent="0.35">
      <c r="B3" s="165" t="s">
        <v>0</v>
      </c>
      <c r="C3" s="166"/>
      <c r="D3" s="166"/>
      <c r="E3" s="4"/>
      <c r="F3" s="4"/>
      <c r="G3" s="4"/>
      <c r="H3" s="4"/>
      <c r="I3" s="4"/>
      <c r="J3" s="4"/>
      <c r="K3" s="4"/>
      <c r="L3" s="4"/>
      <c r="M3" s="167" t="s">
        <v>1</v>
      </c>
      <c r="N3" s="168"/>
      <c r="O3" s="168"/>
      <c r="P3" s="168"/>
      <c r="Q3" s="168"/>
      <c r="R3" s="168"/>
      <c r="S3" s="168"/>
    </row>
    <row r="4" spans="1:35" ht="11.4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/>
      <c r="N4"/>
      <c r="O4"/>
      <c r="P4"/>
      <c r="Q4"/>
      <c r="R4"/>
      <c r="S4"/>
    </row>
    <row r="5" spans="1:35" ht="17.399999999999999" x14ac:dyDescent="0.3">
      <c r="B5" s="169" t="s">
        <v>2</v>
      </c>
      <c r="C5" s="169"/>
      <c r="D5" s="169"/>
      <c r="G5" s="8"/>
      <c r="H5" s="8"/>
      <c r="I5" s="8"/>
      <c r="J5" s="8"/>
      <c r="K5" s="8"/>
      <c r="L5" s="8"/>
      <c r="M5" s="143" t="s">
        <v>3</v>
      </c>
      <c r="N5" s="144"/>
      <c r="O5" s="144"/>
      <c r="P5" s="144"/>
      <c r="Q5" s="9"/>
      <c r="R5" s="9"/>
      <c r="S5" s="3"/>
    </row>
    <row r="6" spans="1:35" ht="29.4" customHeight="1" x14ac:dyDescent="0.3">
      <c r="B6" s="10"/>
      <c r="G6" s="11"/>
      <c r="H6" s="12"/>
      <c r="M6" s="155" t="s">
        <v>4</v>
      </c>
      <c r="N6" s="144"/>
      <c r="O6" s="144"/>
      <c r="P6" s="144"/>
      <c r="Q6" s="144"/>
      <c r="R6" s="144"/>
      <c r="S6" s="144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6" t="s">
        <v>317</v>
      </c>
      <c r="P8" s="157"/>
      <c r="Q8" s="13"/>
      <c r="R8" s="13"/>
      <c r="S8" s="158" t="s">
        <v>6</v>
      </c>
      <c r="T8" s="158"/>
      <c r="U8" s="158"/>
      <c r="V8" s="158"/>
      <c r="W8" s="158"/>
      <c r="X8" s="158"/>
      <c r="Y8" s="158"/>
      <c r="Z8" s="158"/>
      <c r="AA8" s="158"/>
      <c r="AB8" s="158"/>
      <c r="AC8" s="158"/>
      <c r="AD8" s="158"/>
      <c r="AE8" s="158"/>
      <c r="AF8" s="158"/>
      <c r="AG8" s="158"/>
      <c r="AH8" s="158"/>
      <c r="AI8" s="14"/>
    </row>
    <row r="9" spans="1:35" ht="23.4" customHeight="1" x14ac:dyDescent="0.3">
      <c r="B9" s="159" t="s">
        <v>7</v>
      </c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4" t="s">
        <v>8</v>
      </c>
    </row>
    <row r="10" spans="1:35" ht="27.6" customHeight="1" thickBot="1" x14ac:dyDescent="0.35">
      <c r="B10" s="160" t="s">
        <v>314</v>
      </c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</row>
    <row r="11" spans="1:35" ht="37.950000000000003" customHeight="1" x14ac:dyDescent="0.25">
      <c r="A11" s="161"/>
      <c r="B11" s="149" t="s">
        <v>10</v>
      </c>
      <c r="C11" s="151" t="s">
        <v>11</v>
      </c>
      <c r="D11" s="151" t="s">
        <v>12</v>
      </c>
      <c r="E11" s="151" t="s">
        <v>13</v>
      </c>
      <c r="F11" s="151" t="s">
        <v>14</v>
      </c>
      <c r="G11" s="151" t="s">
        <v>15</v>
      </c>
      <c r="H11" s="151" t="s">
        <v>16</v>
      </c>
      <c r="I11" s="151"/>
      <c r="J11" s="151"/>
      <c r="K11" s="151"/>
      <c r="L11" s="147" t="s">
        <v>17</v>
      </c>
      <c r="M11" s="147" t="s">
        <v>18</v>
      </c>
      <c r="N11" s="147" t="s">
        <v>19</v>
      </c>
      <c r="O11" s="145" t="s">
        <v>20</v>
      </c>
      <c r="P11" s="147" t="s">
        <v>21</v>
      </c>
      <c r="Q11" s="149"/>
      <c r="R11" s="151" t="s">
        <v>22</v>
      </c>
      <c r="S11" s="153" t="s">
        <v>23</v>
      </c>
    </row>
    <row r="12" spans="1:35" ht="64.95" customHeight="1" thickBot="1" x14ac:dyDescent="0.3">
      <c r="A12" s="162"/>
      <c r="B12" s="150"/>
      <c r="C12" s="152"/>
      <c r="D12" s="152"/>
      <c r="E12" s="152"/>
      <c r="F12" s="152"/>
      <c r="G12" s="152"/>
      <c r="H12" s="16" t="s">
        <v>24</v>
      </c>
      <c r="I12" s="17" t="s">
        <v>25</v>
      </c>
      <c r="J12" s="17" t="s">
        <v>26</v>
      </c>
      <c r="K12" s="16" t="s">
        <v>27</v>
      </c>
      <c r="L12" s="148"/>
      <c r="M12" s="148"/>
      <c r="N12" s="148"/>
      <c r="O12" s="146"/>
      <c r="P12" s="148"/>
      <c r="Q12" s="150"/>
      <c r="R12" s="152"/>
      <c r="S12" s="154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R14*12</f>
        <v>645000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R15*12</f>
        <v>270000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270000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5815</v>
      </c>
      <c r="F17" s="23"/>
      <c r="G17" s="23">
        <f>E17</f>
        <v>5815</v>
      </c>
      <c r="H17" s="23">
        <f>G17*0.5</f>
        <v>2907.5</v>
      </c>
      <c r="I17" s="23" t="s">
        <v>37</v>
      </c>
      <c r="J17" s="24"/>
      <c r="K17" s="22">
        <f>G17*0.3</f>
        <v>1744.5</v>
      </c>
      <c r="L17" s="23"/>
      <c r="M17" s="24"/>
      <c r="N17" s="23"/>
      <c r="O17" s="26">
        <f>G17*200%</f>
        <v>11630</v>
      </c>
      <c r="P17" s="24"/>
      <c r="Q17" s="22"/>
      <c r="R17" s="23">
        <f>N17+K17+H17+E17+L17+O17</f>
        <v>22097</v>
      </c>
      <c r="S17" s="25">
        <f t="shared" si="0"/>
        <v>265164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5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480000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5240*C19</f>
        <v>10480</v>
      </c>
      <c r="F19" s="23"/>
      <c r="G19" s="23">
        <f t="shared" si="1"/>
        <v>10480</v>
      </c>
      <c r="H19" s="23">
        <f t="shared" ref="H19:H26" si="2">G19*0.5</f>
        <v>5240</v>
      </c>
      <c r="I19" s="23"/>
      <c r="J19" s="23"/>
      <c r="K19" s="23"/>
      <c r="L19" s="23" t="s">
        <v>44</v>
      </c>
      <c r="M19" s="23"/>
      <c r="N19" s="23"/>
      <c r="O19" s="23">
        <f>10480*C19</f>
        <v>20960</v>
      </c>
      <c r="P19" s="23" t="s">
        <v>8</v>
      </c>
      <c r="Q19" s="23"/>
      <c r="R19" s="23">
        <f>G19+H19+O19</f>
        <v>36680</v>
      </c>
      <c r="S19" s="25">
        <f t="shared" si="0"/>
        <v>440160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8</v>
      </c>
      <c r="E20" s="23">
        <v>5240</v>
      </c>
      <c r="F20" s="23"/>
      <c r="G20" s="23">
        <f t="shared" si="1"/>
        <v>5240</v>
      </c>
      <c r="H20" s="23">
        <f t="shared" si="2"/>
        <v>2620</v>
      </c>
      <c r="I20" s="23"/>
      <c r="J20" s="23"/>
      <c r="K20" s="23"/>
      <c r="L20" s="23" t="s">
        <v>44</v>
      </c>
      <c r="M20" s="23"/>
      <c r="N20" s="23"/>
      <c r="O20" s="23">
        <v>10480</v>
      </c>
      <c r="P20" s="23" t="s">
        <v>8</v>
      </c>
      <c r="Q20" s="23"/>
      <c r="R20" s="23">
        <f>G20+H20+O20</f>
        <v>18340</v>
      </c>
      <c r="S20" s="25">
        <f t="shared" si="0"/>
        <v>220080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5240</v>
      </c>
      <c r="F21" s="22"/>
      <c r="G21" s="23">
        <f t="shared" si="1"/>
        <v>5240</v>
      </c>
      <c r="H21" s="23">
        <f t="shared" si="2"/>
        <v>2620</v>
      </c>
      <c r="I21" s="24"/>
      <c r="J21" s="24"/>
      <c r="K21" s="22"/>
      <c r="L21" s="24"/>
      <c r="M21" s="24"/>
      <c r="N21" s="23"/>
      <c r="O21" s="23">
        <f>G21*200%</f>
        <v>10480</v>
      </c>
      <c r="P21" s="24"/>
      <c r="Q21" s="22"/>
      <c r="R21" s="23">
        <f t="shared" ref="R21:R25" si="3">G21+H21+O21</f>
        <v>18340</v>
      </c>
      <c r="S21" s="25">
        <f t="shared" si="0"/>
        <v>220080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4633</v>
      </c>
      <c r="F22" s="22"/>
      <c r="G22" s="23">
        <f t="shared" si="1"/>
        <v>4633</v>
      </c>
      <c r="H22" s="22">
        <f t="shared" si="2"/>
        <v>2316.5</v>
      </c>
      <c r="I22" s="24"/>
      <c r="J22" s="24"/>
      <c r="K22" s="22"/>
      <c r="L22" s="24"/>
      <c r="M22" s="24"/>
      <c r="N22" s="23"/>
      <c r="O22" s="23">
        <f>G22*200%</f>
        <v>9266</v>
      </c>
      <c r="P22" s="24"/>
      <c r="Q22" s="22"/>
      <c r="R22" s="23">
        <f t="shared" si="3"/>
        <v>16215.5</v>
      </c>
      <c r="S22" s="25">
        <f t="shared" si="0"/>
        <v>194586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E22/2</f>
        <v>2316.5</v>
      </c>
      <c r="F23" s="22"/>
      <c r="G23" s="23">
        <f t="shared" si="1"/>
        <v>2316.5</v>
      </c>
      <c r="H23" s="22">
        <f t="shared" si="2"/>
        <v>1158.25</v>
      </c>
      <c r="I23" s="24"/>
      <c r="J23" s="24"/>
      <c r="K23" s="22"/>
      <c r="L23" s="24"/>
      <c r="M23" s="24"/>
      <c r="N23" s="23"/>
      <c r="O23" s="23">
        <f>G23*150%</f>
        <v>3474.75</v>
      </c>
      <c r="P23" s="24"/>
      <c r="Q23" s="22"/>
      <c r="R23" s="23">
        <f t="shared" si="3"/>
        <v>6949.5</v>
      </c>
      <c r="S23" s="25">
        <f t="shared" si="0"/>
        <v>83394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4058</v>
      </c>
      <c r="F24" s="22"/>
      <c r="G24" s="23">
        <f t="shared" si="1"/>
        <v>4058</v>
      </c>
      <c r="H24" s="22">
        <f t="shared" si="2"/>
        <v>2029</v>
      </c>
      <c r="I24" s="24"/>
      <c r="J24" s="24"/>
      <c r="K24" s="22"/>
      <c r="L24" s="24"/>
      <c r="M24" s="24"/>
      <c r="N24" s="23"/>
      <c r="O24" s="23">
        <f>G24*200%</f>
        <v>8116</v>
      </c>
      <c r="P24" s="24"/>
      <c r="Q24" s="22"/>
      <c r="R24" s="23">
        <f t="shared" si="3"/>
        <v>14203</v>
      </c>
      <c r="S24" s="25">
        <f t="shared" si="0"/>
        <v>170436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5527</v>
      </c>
      <c r="F25" s="23"/>
      <c r="G25" s="23">
        <f t="shared" si="1"/>
        <v>5527</v>
      </c>
      <c r="H25" s="23">
        <f t="shared" si="2"/>
        <v>2763.5</v>
      </c>
      <c r="I25" s="23"/>
      <c r="J25" s="23"/>
      <c r="K25" s="23"/>
      <c r="L25" s="23"/>
      <c r="M25" s="23"/>
      <c r="N25" s="23"/>
      <c r="O25" s="23">
        <f>G25*150%</f>
        <v>8290.5</v>
      </c>
      <c r="P25" s="23"/>
      <c r="Q25" s="23"/>
      <c r="R25" s="23">
        <f t="shared" si="3"/>
        <v>16581</v>
      </c>
      <c r="S25" s="25">
        <f t="shared" si="0"/>
        <v>198972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4058*C26</f>
        <v>4058</v>
      </c>
      <c r="F26" s="22"/>
      <c r="G26" s="23">
        <f t="shared" si="1"/>
        <v>4058</v>
      </c>
      <c r="H26" s="22">
        <f t="shared" si="2"/>
        <v>2029</v>
      </c>
      <c r="I26" s="24"/>
      <c r="J26" s="24"/>
      <c r="K26" s="22"/>
      <c r="L26" s="24"/>
      <c r="M26" s="24"/>
      <c r="N26" s="23"/>
      <c r="O26" s="23">
        <f>G26*150%</f>
        <v>6087</v>
      </c>
      <c r="P26" s="24"/>
      <c r="Q26" s="22"/>
      <c r="R26" s="23">
        <f>G26+H26+O26</f>
        <v>12174</v>
      </c>
      <c r="S26" s="25">
        <f t="shared" si="0"/>
        <v>146088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137367.5</v>
      </c>
      <c r="F27" s="34"/>
      <c r="G27" s="35">
        <f>SUM(G14:G26)</f>
        <v>137367.5</v>
      </c>
      <c r="H27" s="34">
        <f>SUM(H14:H26)</f>
        <v>23683.75</v>
      </c>
      <c r="I27" s="90"/>
      <c r="J27" s="90"/>
      <c r="K27" s="34">
        <f>SUM(K14:K26)</f>
        <v>1744.5</v>
      </c>
      <c r="L27" s="90"/>
      <c r="M27" s="34">
        <f>SUM(M14:M26)</f>
        <v>3750</v>
      </c>
      <c r="N27" s="35"/>
      <c r="O27" s="35">
        <f>SUM(O14:O26)</f>
        <v>133784.25</v>
      </c>
      <c r="P27" s="90"/>
      <c r="Q27" s="34"/>
      <c r="R27" s="35">
        <f>SUM(R14:R26)</f>
        <v>300330</v>
      </c>
      <c r="S27" s="36">
        <f>SUM(S14:S26)</f>
        <v>3603960</v>
      </c>
    </row>
    <row r="28" spans="1:19" s="13" customFormat="1" ht="19.8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93"/>
    </row>
    <row r="29" spans="1:19" x14ac:dyDescent="0.25">
      <c r="A29" s="20" t="s">
        <v>61</v>
      </c>
      <c r="B29" s="21" t="s">
        <v>62</v>
      </c>
      <c r="C29" s="22">
        <v>1</v>
      </c>
      <c r="D29" s="22">
        <v>7</v>
      </c>
      <c r="E29" s="23">
        <v>4920</v>
      </c>
      <c r="F29" s="22"/>
      <c r="G29" s="23">
        <f t="shared" ref="G29:G31" si="4">E29+F29</f>
        <v>4920</v>
      </c>
      <c r="H29" s="23"/>
      <c r="I29" s="23"/>
      <c r="J29" s="23"/>
      <c r="K29" s="23"/>
      <c r="L29" s="23"/>
      <c r="M29" s="23"/>
      <c r="N29" s="23"/>
      <c r="O29" s="23"/>
      <c r="P29" s="23">
        <f>8000*C29-G29</f>
        <v>3080</v>
      </c>
      <c r="Q29" s="23"/>
      <c r="R29" s="23">
        <f>G29+H29+I29+ J29+K29+L29+N29+O29+P29</f>
        <v>8000</v>
      </c>
      <c r="S29" s="25">
        <f>R29*12</f>
        <v>96000</v>
      </c>
    </row>
    <row r="30" spans="1:19" x14ac:dyDescent="0.25">
      <c r="A30" s="20" t="s">
        <v>63</v>
      </c>
      <c r="B30" s="21" t="s">
        <v>64</v>
      </c>
      <c r="C30" s="22">
        <v>1</v>
      </c>
      <c r="D30" s="22">
        <v>1</v>
      </c>
      <c r="E30" s="23">
        <v>3195</v>
      </c>
      <c r="F30" s="22"/>
      <c r="G30" s="23">
        <f t="shared" si="4"/>
        <v>3195</v>
      </c>
      <c r="H30" s="23"/>
      <c r="I30" s="23"/>
      <c r="J30" s="23"/>
      <c r="K30" s="23"/>
      <c r="L30" s="23"/>
      <c r="M30" s="23"/>
      <c r="N30" s="23"/>
      <c r="O30" s="23"/>
      <c r="P30" s="23">
        <f>8000-G30</f>
        <v>4805</v>
      </c>
      <c r="Q30" s="23"/>
      <c r="R30" s="23">
        <f t="shared" ref="R30:R31" si="5">G30+H30+I30+ J30+K30+L30+N30+O30+P30</f>
        <v>8000</v>
      </c>
      <c r="S30" s="25">
        <f t="shared" ref="S30:S36" si="6">R30*12</f>
        <v>96000</v>
      </c>
    </row>
    <row r="31" spans="1:19" x14ac:dyDescent="0.25">
      <c r="A31" s="20" t="s">
        <v>65</v>
      </c>
      <c r="B31" s="21" t="s">
        <v>66</v>
      </c>
      <c r="C31" s="22">
        <v>1</v>
      </c>
      <c r="D31" s="22">
        <v>1</v>
      </c>
      <c r="E31" s="23">
        <v>3195</v>
      </c>
      <c r="F31" s="22"/>
      <c r="G31" s="23">
        <f t="shared" si="4"/>
        <v>3195</v>
      </c>
      <c r="H31" s="23"/>
      <c r="I31" s="23"/>
      <c r="J31" s="23"/>
      <c r="K31" s="23"/>
      <c r="L31" s="23"/>
      <c r="M31" s="23"/>
      <c r="N31" s="23"/>
      <c r="O31" s="23"/>
      <c r="P31" s="23">
        <f t="shared" ref="P31" si="7">8000-G31</f>
        <v>4805</v>
      </c>
      <c r="Q31" s="23"/>
      <c r="R31" s="23">
        <f t="shared" si="5"/>
        <v>8000</v>
      </c>
      <c r="S31" s="25">
        <f t="shared" si="6"/>
        <v>96000</v>
      </c>
    </row>
    <row r="32" spans="1:19" x14ac:dyDescent="0.25">
      <c r="A32" s="20" t="s">
        <v>67</v>
      </c>
      <c r="B32" s="21" t="s">
        <v>68</v>
      </c>
      <c r="C32" s="22">
        <v>1.5</v>
      </c>
      <c r="D32" s="22">
        <v>3</v>
      </c>
      <c r="E32" s="23">
        <f>3770*C32</f>
        <v>5655</v>
      </c>
      <c r="F32" s="22"/>
      <c r="G32" s="23">
        <f t="shared" si="1"/>
        <v>5655</v>
      </c>
      <c r="H32" s="23"/>
      <c r="I32" s="23"/>
      <c r="J32" s="23"/>
      <c r="K32" s="23"/>
      <c r="L32" s="23"/>
      <c r="M32" s="23"/>
      <c r="N32" s="23"/>
      <c r="O32" s="23"/>
      <c r="P32" s="23">
        <f>8000*C32-G32</f>
        <v>6345</v>
      </c>
      <c r="Q32" s="23"/>
      <c r="R32" s="23">
        <f>G32+H32+I32+ J32+K32+L32+N32+O32+P32</f>
        <v>12000</v>
      </c>
      <c r="S32" s="25">
        <f t="shared" si="6"/>
        <v>144000</v>
      </c>
    </row>
    <row r="33" spans="1:19" ht="24" x14ac:dyDescent="0.25">
      <c r="A33" s="20" t="s">
        <v>67</v>
      </c>
      <c r="B33" s="21" t="s">
        <v>315</v>
      </c>
      <c r="C33" s="22">
        <v>0.5</v>
      </c>
      <c r="D33" s="22">
        <v>3</v>
      </c>
      <c r="E33" s="23">
        <f>3770*C33</f>
        <v>1885</v>
      </c>
      <c r="F33" s="22"/>
      <c r="G33" s="23">
        <f t="shared" ref="G33" si="8">E33+F33</f>
        <v>1885</v>
      </c>
      <c r="H33" s="23"/>
      <c r="I33" s="23"/>
      <c r="J33" s="23"/>
      <c r="K33" s="23"/>
      <c r="L33" s="23"/>
      <c r="M33" s="23"/>
      <c r="N33" s="23"/>
      <c r="O33" s="23"/>
      <c r="P33" s="23">
        <f>8000*C33-G33</f>
        <v>2115</v>
      </c>
      <c r="Q33" s="23"/>
      <c r="R33" s="23">
        <f>G33+H33+I33+ J33+K33+L33+N33+O33+P33</f>
        <v>4000</v>
      </c>
      <c r="S33" s="25">
        <f t="shared" ref="S33" si="9">R33*12</f>
        <v>48000</v>
      </c>
    </row>
    <row r="34" spans="1:19" ht="12.6" customHeight="1" x14ac:dyDescent="0.25">
      <c r="A34" s="20" t="s">
        <v>69</v>
      </c>
      <c r="B34" s="21" t="s">
        <v>70</v>
      </c>
      <c r="C34" s="22">
        <v>1</v>
      </c>
      <c r="D34" s="22">
        <v>2</v>
      </c>
      <c r="E34" s="23">
        <v>3483</v>
      </c>
      <c r="F34" s="22">
        <f>E34*0.2</f>
        <v>696.6</v>
      </c>
      <c r="G34" s="23">
        <f t="shared" si="1"/>
        <v>4179.6000000000004</v>
      </c>
      <c r="H34" s="23"/>
      <c r="I34" s="23"/>
      <c r="J34" s="23">
        <f>G34*4%</f>
        <v>167.18400000000003</v>
      </c>
      <c r="K34" s="23"/>
      <c r="L34" s="23"/>
      <c r="M34" s="23"/>
      <c r="N34" s="23"/>
      <c r="O34" s="23"/>
      <c r="P34" s="23">
        <f>8000-E34</f>
        <v>4517</v>
      </c>
      <c r="Q34" s="23"/>
      <c r="R34" s="23">
        <f>G34+J34+P34</f>
        <v>8863.7839999999997</v>
      </c>
      <c r="S34" s="25">
        <f t="shared" si="6"/>
        <v>106365.408</v>
      </c>
    </row>
    <row r="35" spans="1:19" ht="18" customHeight="1" x14ac:dyDescent="0.25">
      <c r="A35" s="20" t="s">
        <v>71</v>
      </c>
      <c r="B35" s="21" t="s">
        <v>72</v>
      </c>
      <c r="C35" s="22">
        <v>1</v>
      </c>
      <c r="D35" s="22">
        <v>1</v>
      </c>
      <c r="E35" s="23">
        <v>3195</v>
      </c>
      <c r="F35" s="22"/>
      <c r="G35" s="23">
        <f t="shared" si="1"/>
        <v>3195</v>
      </c>
      <c r="H35" s="23"/>
      <c r="I35" s="23"/>
      <c r="J35" s="23"/>
      <c r="K35" s="23"/>
      <c r="L35" s="23"/>
      <c r="M35" s="23"/>
      <c r="N35" s="23"/>
      <c r="O35" s="23"/>
      <c r="P35" s="23">
        <f>8000-G35</f>
        <v>4805</v>
      </c>
      <c r="Q35" s="23"/>
      <c r="R35" s="23">
        <f t="shared" ref="R35" si="10">G35+H35+I35+ J35+K35+L35+N35+O35+P35</f>
        <v>8000</v>
      </c>
      <c r="S35" s="25">
        <f t="shared" si="6"/>
        <v>96000</v>
      </c>
    </row>
    <row r="36" spans="1:19" x14ac:dyDescent="0.25">
      <c r="A36" s="20" t="s">
        <v>73</v>
      </c>
      <c r="B36" s="21" t="s">
        <v>74</v>
      </c>
      <c r="C36" s="22">
        <v>1</v>
      </c>
      <c r="D36" s="22">
        <v>5</v>
      </c>
      <c r="E36" s="23">
        <v>4345</v>
      </c>
      <c r="F36" s="23"/>
      <c r="G36" s="23">
        <f>E36+F36</f>
        <v>4345</v>
      </c>
      <c r="H36" s="23"/>
      <c r="I36" s="23"/>
      <c r="J36" s="23"/>
      <c r="K36" s="23"/>
      <c r="L36" s="23"/>
      <c r="M36" s="23"/>
      <c r="N36" s="23"/>
      <c r="O36" s="23"/>
      <c r="P36" s="23">
        <f>8000-G36</f>
        <v>3655</v>
      </c>
      <c r="Q36" s="32"/>
      <c r="R36" s="23">
        <f>G36+P36</f>
        <v>8000</v>
      </c>
      <c r="S36" s="25">
        <f t="shared" si="6"/>
        <v>96000</v>
      </c>
    </row>
    <row r="37" spans="1:19" s="27" customFormat="1" ht="20.399999999999999" customHeight="1" thickBot="1" x14ac:dyDescent="0.3">
      <c r="A37" s="64"/>
      <c r="B37" s="47" t="s">
        <v>59</v>
      </c>
      <c r="C37" s="34">
        <f>SUM(C29:C36)</f>
        <v>8</v>
      </c>
      <c r="D37" s="34"/>
      <c r="E37" s="35">
        <f>SUM(E29:E36)</f>
        <v>29873</v>
      </c>
      <c r="F37" s="34">
        <f>SUM(F29:F36)</f>
        <v>696.6</v>
      </c>
      <c r="G37" s="35">
        <f>E37+F37</f>
        <v>30569.599999999999</v>
      </c>
      <c r="H37" s="35"/>
      <c r="I37" s="35">
        <f>SUM(I29:I35)</f>
        <v>0</v>
      </c>
      <c r="J37" s="35">
        <f>SUM(J29:J35)</f>
        <v>167.18400000000003</v>
      </c>
      <c r="K37" s="35"/>
      <c r="L37" s="35"/>
      <c r="M37" s="35"/>
      <c r="N37" s="35"/>
      <c r="O37" s="35"/>
      <c r="P37" s="35">
        <f>SUM(P29:P36)</f>
        <v>34127</v>
      </c>
      <c r="Q37" s="35"/>
      <c r="R37" s="35">
        <f>SUM(R29:R36)</f>
        <v>64863.784</v>
      </c>
      <c r="S37" s="36">
        <f>SUM(S29:S36)</f>
        <v>778365.40800000005</v>
      </c>
    </row>
    <row r="38" spans="1:19" ht="19.8" customHeight="1" x14ac:dyDescent="0.25">
      <c r="A38" s="18"/>
      <c r="B38" s="86" t="s">
        <v>75</v>
      </c>
      <c r="C38" s="85"/>
      <c r="D38" s="85"/>
      <c r="E38" s="85"/>
      <c r="F38" s="85"/>
      <c r="G38" s="94"/>
      <c r="H38" s="85" t="s">
        <v>76</v>
      </c>
      <c r="I38" s="95"/>
      <c r="J38" s="95"/>
      <c r="K38" s="85"/>
      <c r="L38" s="95"/>
      <c r="M38" s="95"/>
      <c r="N38" s="95"/>
      <c r="O38" s="95"/>
      <c r="P38" s="95"/>
      <c r="Q38" s="85"/>
      <c r="R38" s="85"/>
      <c r="S38" s="96"/>
    </row>
    <row r="39" spans="1:19" s="13" customFormat="1" x14ac:dyDescent="0.2">
      <c r="A39" s="28" t="s">
        <v>77</v>
      </c>
      <c r="B39" s="21" t="s">
        <v>78</v>
      </c>
      <c r="C39" s="22">
        <v>2.5</v>
      </c>
      <c r="D39" s="22">
        <v>2</v>
      </c>
      <c r="E39" s="23">
        <f>3483*C39</f>
        <v>8707.5</v>
      </c>
      <c r="F39" s="22"/>
      <c r="G39" s="23">
        <f t="shared" ref="G39:G40" si="11">E39+F39</f>
        <v>8707.5</v>
      </c>
      <c r="H39" s="23"/>
      <c r="I39" s="23"/>
      <c r="J39" s="23"/>
      <c r="K39" s="23"/>
      <c r="L39" s="23"/>
      <c r="M39" s="23"/>
      <c r="N39" s="23"/>
      <c r="O39" s="23"/>
      <c r="P39" s="23">
        <f>8000*C39-G39</f>
        <v>11292.5</v>
      </c>
      <c r="Q39" s="23"/>
      <c r="R39" s="23">
        <f t="shared" ref="R39" si="12">G39+H39+I39+ J39+K39+L39+N39+O39+P39</f>
        <v>20000</v>
      </c>
      <c r="S39" s="25">
        <f>R39*12</f>
        <v>240000</v>
      </c>
    </row>
    <row r="40" spans="1:19" s="37" customFormat="1" ht="20.399999999999999" customHeight="1" thickBot="1" x14ac:dyDescent="0.3">
      <c r="A40" s="33"/>
      <c r="B40" s="34" t="s">
        <v>59</v>
      </c>
      <c r="C40" s="34">
        <f>SUM(C39:C39)</f>
        <v>2.5</v>
      </c>
      <c r="D40" s="34"/>
      <c r="E40" s="35">
        <f>SUM(E39:E39)</f>
        <v>8707.5</v>
      </c>
      <c r="F40" s="34"/>
      <c r="G40" s="35">
        <f t="shared" si="11"/>
        <v>8707.5</v>
      </c>
      <c r="H40" s="35"/>
      <c r="I40" s="35"/>
      <c r="J40" s="35"/>
      <c r="K40" s="35"/>
      <c r="L40" s="35"/>
      <c r="M40" s="35"/>
      <c r="N40" s="35"/>
      <c r="O40" s="35"/>
      <c r="P40" s="35">
        <f>SUM(P39:P39)</f>
        <v>11292.5</v>
      </c>
      <c r="Q40" s="35"/>
      <c r="R40" s="35">
        <f>SUM(G40:Q40)</f>
        <v>20000</v>
      </c>
      <c r="S40" s="36">
        <f>SUM(S39:S39)</f>
        <v>240000</v>
      </c>
    </row>
    <row r="41" spans="1:19" s="38" customFormat="1" ht="26.4" customHeight="1" x14ac:dyDescent="0.25">
      <c r="A41" s="18"/>
      <c r="B41" s="86" t="s">
        <v>79</v>
      </c>
      <c r="C41" s="86"/>
      <c r="D41" s="86"/>
      <c r="E41" s="86"/>
      <c r="F41" s="86"/>
      <c r="G41" s="94"/>
      <c r="H41" s="86"/>
      <c r="I41" s="19"/>
      <c r="J41" s="19"/>
      <c r="K41" s="86"/>
      <c r="L41" s="19"/>
      <c r="M41" s="19"/>
      <c r="N41" s="19"/>
      <c r="O41" s="19"/>
      <c r="P41" s="19"/>
      <c r="Q41" s="86"/>
      <c r="R41" s="86"/>
      <c r="S41" s="87"/>
    </row>
    <row r="42" spans="1:19" s="38" customFormat="1" ht="16.95" customHeight="1" x14ac:dyDescent="0.25">
      <c r="A42" s="20" t="s">
        <v>80</v>
      </c>
      <c r="B42" s="21" t="s">
        <v>64</v>
      </c>
      <c r="C42" s="22">
        <v>0.5</v>
      </c>
      <c r="D42" s="22">
        <v>1</v>
      </c>
      <c r="E42" s="22">
        <v>1597.5</v>
      </c>
      <c r="F42" s="22"/>
      <c r="G42" s="22">
        <v>1597.5</v>
      </c>
      <c r="H42" s="22"/>
      <c r="I42" s="24"/>
      <c r="J42" s="24"/>
      <c r="K42" s="22"/>
      <c r="L42" s="24"/>
      <c r="M42" s="24"/>
      <c r="N42" s="24"/>
      <c r="O42" s="24"/>
      <c r="P42" s="23">
        <f>8000/2-G42</f>
        <v>2402.5</v>
      </c>
      <c r="Q42" s="22"/>
      <c r="R42" s="23">
        <f t="shared" ref="R42" si="13">G42+H42+I42+ J42+K42+L42+N42+O42+P42</f>
        <v>4000</v>
      </c>
      <c r="S42" s="25">
        <f>R42*12</f>
        <v>48000</v>
      </c>
    </row>
    <row r="43" spans="1:19" x14ac:dyDescent="0.25">
      <c r="A43" s="20" t="s">
        <v>81</v>
      </c>
      <c r="B43" s="21" t="s">
        <v>82</v>
      </c>
      <c r="C43" s="22">
        <v>2</v>
      </c>
      <c r="D43" s="22">
        <v>4</v>
      </c>
      <c r="E43" s="23">
        <f>4058*C43</f>
        <v>8116</v>
      </c>
      <c r="F43" s="22"/>
      <c r="G43" s="23">
        <f t="shared" ref="G43:G44" si="14">E43+F43</f>
        <v>8116</v>
      </c>
      <c r="H43" s="23"/>
      <c r="I43" s="23"/>
      <c r="J43" s="23">
        <f>G43*0.04</f>
        <v>324.64</v>
      </c>
      <c r="K43" s="23"/>
      <c r="L43" s="23"/>
      <c r="M43" s="23"/>
      <c r="N43" s="23"/>
      <c r="O43" s="23"/>
      <c r="P43" s="23">
        <f>8000*C43-G43</f>
        <v>7884</v>
      </c>
      <c r="Q43" s="23"/>
      <c r="R43" s="23">
        <f>SUM(G43:P43)</f>
        <v>16324.64</v>
      </c>
      <c r="S43" s="25">
        <f t="shared" ref="S43:S44" si="15">R43*12</f>
        <v>195895.67999999999</v>
      </c>
    </row>
    <row r="44" spans="1:19" x14ac:dyDescent="0.25">
      <c r="A44" s="20" t="s">
        <v>83</v>
      </c>
      <c r="B44" s="21" t="s">
        <v>84</v>
      </c>
      <c r="C44" s="22">
        <v>2</v>
      </c>
      <c r="D44" s="22">
        <v>1</v>
      </c>
      <c r="E44" s="23">
        <f>3195*C44</f>
        <v>6390</v>
      </c>
      <c r="F44" s="22"/>
      <c r="G44" s="23">
        <f t="shared" si="14"/>
        <v>6390</v>
      </c>
      <c r="H44" s="23"/>
      <c r="I44" s="23">
        <f>G44*0.1</f>
        <v>639</v>
      </c>
      <c r="J44" s="23"/>
      <c r="K44" s="23"/>
      <c r="L44" s="23"/>
      <c r="M44" s="23"/>
      <c r="N44" s="23"/>
      <c r="O44" s="23"/>
      <c r="P44" s="23">
        <f>8000*C44-G44</f>
        <v>9610</v>
      </c>
      <c r="Q44" s="23"/>
      <c r="R44" s="23">
        <f>SUM(G44:P44)</f>
        <v>16639</v>
      </c>
      <c r="S44" s="25">
        <f t="shared" si="15"/>
        <v>199668</v>
      </c>
    </row>
    <row r="45" spans="1:19" s="37" customFormat="1" ht="22.8" customHeight="1" thickBot="1" x14ac:dyDescent="0.3">
      <c r="A45" s="33"/>
      <c r="B45" s="34" t="s">
        <v>59</v>
      </c>
      <c r="C45" s="34">
        <f>SUM(C42:C44)</f>
        <v>4.5</v>
      </c>
      <c r="D45" s="34"/>
      <c r="E45" s="35">
        <f>SUM(E42:E44)</f>
        <v>16103.5</v>
      </c>
      <c r="F45" s="34"/>
      <c r="G45" s="35">
        <f>SUM(G42:G44)</f>
        <v>16103.5</v>
      </c>
      <c r="H45" s="35"/>
      <c r="I45" s="35">
        <f>SUM(I44:I44)</f>
        <v>639</v>
      </c>
      <c r="J45" s="35">
        <f>SUM(J43:J44)</f>
        <v>324.64</v>
      </c>
      <c r="K45" s="35"/>
      <c r="L45" s="35"/>
      <c r="M45" s="35"/>
      <c r="N45" s="35"/>
      <c r="O45" s="35"/>
      <c r="P45" s="35">
        <f>SUM(P42:P44)</f>
        <v>19896.5</v>
      </c>
      <c r="Q45" s="35"/>
      <c r="R45" s="35">
        <f>SUM(R42:R44)</f>
        <v>36963.64</v>
      </c>
      <c r="S45" s="36">
        <f>SUM(S42:S44)</f>
        <v>443563.68</v>
      </c>
    </row>
    <row r="46" spans="1:19" s="39" customFormat="1" ht="22.8" customHeight="1" x14ac:dyDescent="0.25">
      <c r="A46" s="98" t="s">
        <v>316</v>
      </c>
      <c r="B46" s="99" t="s">
        <v>85</v>
      </c>
      <c r="C46" s="100"/>
      <c r="D46" s="100"/>
      <c r="E46" s="101"/>
      <c r="F46" s="100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2"/>
    </row>
    <row r="47" spans="1:19" s="42" customFormat="1" x14ac:dyDescent="0.25">
      <c r="A47" s="43" t="s">
        <v>86</v>
      </c>
      <c r="B47" s="21" t="s">
        <v>87</v>
      </c>
      <c r="C47" s="22">
        <v>0.5</v>
      </c>
      <c r="D47" s="22">
        <v>10</v>
      </c>
      <c r="E47" s="23">
        <f>5815*C47</f>
        <v>2907.5</v>
      </c>
      <c r="F47" s="22"/>
      <c r="G47" s="23">
        <f>E47</f>
        <v>2907.5</v>
      </c>
      <c r="H47" s="23"/>
      <c r="I47" s="23"/>
      <c r="J47" s="40"/>
      <c r="K47" s="23">
        <f>G47*0.3</f>
        <v>872.25</v>
      </c>
      <c r="L47" s="41">
        <f>20000*C47-G47-K47</f>
        <v>6220.25</v>
      </c>
      <c r="M47" s="23"/>
      <c r="N47" s="23"/>
      <c r="O47" s="23"/>
      <c r="P47" s="23"/>
      <c r="Q47" s="23"/>
      <c r="R47" s="23">
        <f>G47+K47+L47</f>
        <v>10000</v>
      </c>
      <c r="S47" s="25">
        <f>R47*12</f>
        <v>120000</v>
      </c>
    </row>
    <row r="48" spans="1:19" s="42" customFormat="1" x14ac:dyDescent="0.25">
      <c r="A48" s="43" t="s">
        <v>88</v>
      </c>
      <c r="B48" s="21" t="s">
        <v>89</v>
      </c>
      <c r="C48" s="22">
        <v>3</v>
      </c>
      <c r="D48" s="22">
        <v>9</v>
      </c>
      <c r="E48" s="23">
        <f>5527*C48</f>
        <v>16581</v>
      </c>
      <c r="F48" s="22"/>
      <c r="G48" s="23">
        <f>E48</f>
        <v>16581</v>
      </c>
      <c r="H48" s="23"/>
      <c r="I48" s="23"/>
      <c r="J48" s="40"/>
      <c r="K48" s="23"/>
      <c r="L48" s="41">
        <f>15000*C48-G48-K48</f>
        <v>28419</v>
      </c>
      <c r="M48" s="23"/>
      <c r="N48" s="23"/>
      <c r="O48" s="23"/>
      <c r="P48" s="23"/>
      <c r="Q48" s="23"/>
      <c r="R48" s="23">
        <f>G48+K48+L48</f>
        <v>45000</v>
      </c>
      <c r="S48" s="25">
        <f t="shared" ref="S48:S52" si="16">R48*12</f>
        <v>540000</v>
      </c>
    </row>
    <row r="49" spans="1:20" s="42" customFormat="1" x14ac:dyDescent="0.25">
      <c r="A49" s="43" t="s">
        <v>90</v>
      </c>
      <c r="B49" s="21" t="s">
        <v>91</v>
      </c>
      <c r="C49" s="22">
        <v>1</v>
      </c>
      <c r="D49" s="22">
        <v>10</v>
      </c>
      <c r="E49" s="23">
        <v>5815</v>
      </c>
      <c r="F49" s="22"/>
      <c r="G49" s="23">
        <v>5815</v>
      </c>
      <c r="H49" s="23"/>
      <c r="I49" s="23"/>
      <c r="J49" s="40"/>
      <c r="K49" s="23">
        <f>G49*0.3</f>
        <v>1744.5</v>
      </c>
      <c r="L49" s="41">
        <f>13500-G49-K49</f>
        <v>5940.5</v>
      </c>
      <c r="M49" s="23"/>
      <c r="N49" s="23"/>
      <c r="O49" s="23"/>
      <c r="P49" s="23"/>
      <c r="Q49" s="23"/>
      <c r="R49" s="23">
        <f>G49+K49+L49</f>
        <v>13500</v>
      </c>
      <c r="S49" s="25">
        <f t="shared" si="16"/>
        <v>162000</v>
      </c>
    </row>
    <row r="50" spans="1:20" s="42" customFormat="1" x14ac:dyDescent="0.25">
      <c r="A50" s="43" t="s">
        <v>92</v>
      </c>
      <c r="B50" s="21" t="s">
        <v>93</v>
      </c>
      <c r="C50" s="22">
        <v>1</v>
      </c>
      <c r="D50" s="22">
        <v>4</v>
      </c>
      <c r="E50" s="23">
        <v>4058</v>
      </c>
      <c r="F50" s="22"/>
      <c r="G50" s="23">
        <v>4058</v>
      </c>
      <c r="H50" s="23"/>
      <c r="I50" s="23"/>
      <c r="J50" s="40"/>
      <c r="K50" s="23"/>
      <c r="L50" s="23"/>
      <c r="M50" s="23"/>
      <c r="N50" s="23"/>
      <c r="O50" s="23">
        <f>G50*200%</f>
        <v>8116</v>
      </c>
      <c r="P50" s="23"/>
      <c r="Q50" s="23"/>
      <c r="R50" s="23">
        <f>O50+G50</f>
        <v>12174</v>
      </c>
      <c r="S50" s="25">
        <f t="shared" si="16"/>
        <v>146088</v>
      </c>
    </row>
    <row r="51" spans="1:20" s="42" customFormat="1" x14ac:dyDescent="0.25">
      <c r="A51" s="43" t="s">
        <v>94</v>
      </c>
      <c r="B51" s="21" t="s">
        <v>95</v>
      </c>
      <c r="C51" s="22">
        <v>1</v>
      </c>
      <c r="D51" s="22">
        <v>5</v>
      </c>
      <c r="E51" s="23">
        <v>4345</v>
      </c>
      <c r="F51" s="23"/>
      <c r="G51" s="23">
        <f>E51+F51</f>
        <v>4345</v>
      </c>
      <c r="H51" s="23"/>
      <c r="I51" s="23"/>
      <c r="J51" s="23"/>
      <c r="K51" s="23"/>
      <c r="L51" s="23"/>
      <c r="M51" s="23"/>
      <c r="N51" s="23"/>
      <c r="O51" s="23"/>
      <c r="P51" s="23">
        <f>8000-G51</f>
        <v>3655</v>
      </c>
      <c r="Q51" s="32"/>
      <c r="R51" s="23">
        <f>G51+P51</f>
        <v>8000</v>
      </c>
      <c r="S51" s="25">
        <f t="shared" si="16"/>
        <v>96000</v>
      </c>
    </row>
    <row r="52" spans="1:20" x14ac:dyDescent="0.25">
      <c r="A52" s="43" t="s">
        <v>96</v>
      </c>
      <c r="B52" s="21" t="s">
        <v>97</v>
      </c>
      <c r="C52" s="22">
        <v>0.5</v>
      </c>
      <c r="D52" s="22">
        <v>9</v>
      </c>
      <c r="E52" s="23">
        <v>2763.5</v>
      </c>
      <c r="F52" s="22"/>
      <c r="G52" s="23">
        <f t="shared" ref="G52" si="17">E52+F52</f>
        <v>2763.5</v>
      </c>
      <c r="H52" s="23"/>
      <c r="I52" s="23"/>
      <c r="J52" s="23"/>
      <c r="K52" s="23">
        <f>G52*0.3</f>
        <v>829.05</v>
      </c>
      <c r="L52" s="23">
        <f>6750-G52-K52</f>
        <v>3157.45</v>
      </c>
      <c r="M52" s="23"/>
      <c r="N52" s="23"/>
      <c r="O52" s="23"/>
      <c r="P52" s="23"/>
      <c r="Q52" s="23"/>
      <c r="R52" s="23">
        <f>L52+K52+G52</f>
        <v>6750</v>
      </c>
      <c r="S52" s="25">
        <f t="shared" si="16"/>
        <v>81000</v>
      </c>
    </row>
    <row r="53" spans="1:20" s="45" customFormat="1" thickBot="1" x14ac:dyDescent="0.25">
      <c r="A53" s="103"/>
      <c r="B53" s="104" t="s">
        <v>59</v>
      </c>
      <c r="C53" s="105">
        <f>SUM(C47:C52)</f>
        <v>7</v>
      </c>
      <c r="D53" s="105"/>
      <c r="E53" s="106">
        <f>SUM(E47:E52)</f>
        <v>36470</v>
      </c>
      <c r="F53" s="105"/>
      <c r="G53" s="106">
        <f>SUM(G47:G52)</f>
        <v>36470</v>
      </c>
      <c r="H53" s="106"/>
      <c r="I53" s="106"/>
      <c r="J53" s="106"/>
      <c r="K53" s="106">
        <f>SUM(K47:K52)</f>
        <v>3445.8</v>
      </c>
      <c r="L53" s="106">
        <f>SUM(L47:L52)</f>
        <v>43737.2</v>
      </c>
      <c r="M53" s="106"/>
      <c r="N53" s="106"/>
      <c r="O53" s="106">
        <f>SUM(O47:O51)</f>
        <v>8116</v>
      </c>
      <c r="P53" s="106">
        <f>SUM(P47:P52)</f>
        <v>3655</v>
      </c>
      <c r="Q53" s="106"/>
      <c r="R53" s="106">
        <f>SUM(R47:R52)</f>
        <v>95424</v>
      </c>
      <c r="S53" s="107">
        <f>SUM(S47:S52)</f>
        <v>1145088</v>
      </c>
    </row>
    <row r="54" spans="1:20" s="38" customFormat="1" ht="17.399999999999999" customHeight="1" x14ac:dyDescent="0.25">
      <c r="A54" s="108"/>
      <c r="B54" s="86" t="s">
        <v>98</v>
      </c>
      <c r="C54" s="85"/>
      <c r="D54" s="85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109"/>
      <c r="R54" s="94"/>
      <c r="S54" s="110"/>
      <c r="T54" s="46"/>
    </row>
    <row r="55" spans="1:20" s="38" customFormat="1" x14ac:dyDescent="0.25">
      <c r="A55" s="43" t="s">
        <v>99</v>
      </c>
      <c r="B55" s="21" t="s">
        <v>100</v>
      </c>
      <c r="C55" s="22">
        <v>0.5</v>
      </c>
      <c r="D55" s="22">
        <v>14</v>
      </c>
      <c r="E55" s="23">
        <f>7732*C55</f>
        <v>3866</v>
      </c>
      <c r="F55" s="23">
        <f>E55*10%</f>
        <v>386.6</v>
      </c>
      <c r="G55" s="23">
        <f>E55+F55</f>
        <v>4252.6000000000004</v>
      </c>
      <c r="H55" s="23"/>
      <c r="I55" s="23"/>
      <c r="J55" s="23"/>
      <c r="K55" s="23">
        <f>G55*0.3</f>
        <v>1275.78</v>
      </c>
      <c r="L55" s="23">
        <f>20000*C55-G55-K55</f>
        <v>4471.62</v>
      </c>
      <c r="M55" s="23"/>
      <c r="N55" s="23"/>
      <c r="O55" s="23"/>
      <c r="P55" s="23"/>
      <c r="Q55" s="32"/>
      <c r="R55" s="23">
        <f>G55+K55+L55</f>
        <v>10000</v>
      </c>
      <c r="S55" s="25">
        <f>R55*12</f>
        <v>120000</v>
      </c>
      <c r="T55" s="46"/>
    </row>
    <row r="56" spans="1:20" s="38" customFormat="1" x14ac:dyDescent="0.25">
      <c r="A56" s="43" t="s">
        <v>101</v>
      </c>
      <c r="B56" s="21" t="s">
        <v>102</v>
      </c>
      <c r="C56" s="22">
        <v>0.5</v>
      </c>
      <c r="D56" s="22">
        <v>13</v>
      </c>
      <c r="E56" s="23">
        <v>3626</v>
      </c>
      <c r="F56" s="23">
        <f>E56*0.15</f>
        <v>543.9</v>
      </c>
      <c r="G56" s="23">
        <f>E56+F56</f>
        <v>4169.8999999999996</v>
      </c>
      <c r="H56" s="23"/>
      <c r="I56" s="23"/>
      <c r="J56" s="23"/>
      <c r="K56" s="23">
        <f>G56*0.3</f>
        <v>1250.9699999999998</v>
      </c>
      <c r="L56" s="23">
        <f>20000*C56-G56-K56</f>
        <v>4579.130000000001</v>
      </c>
      <c r="M56" s="23"/>
      <c r="N56" s="23"/>
      <c r="O56" s="23"/>
      <c r="P56" s="23"/>
      <c r="Q56" s="32"/>
      <c r="R56" s="23">
        <f>G56+K56+L56</f>
        <v>10000</v>
      </c>
      <c r="S56" s="25">
        <f t="shared" ref="S56:S58" si="18">R56*12</f>
        <v>120000</v>
      </c>
      <c r="T56" s="46"/>
    </row>
    <row r="57" spans="1:20" s="38" customFormat="1" x14ac:dyDescent="0.25">
      <c r="A57" s="43" t="s">
        <v>103</v>
      </c>
      <c r="B57" s="21" t="s">
        <v>104</v>
      </c>
      <c r="C57" s="22">
        <v>0.5</v>
      </c>
      <c r="D57" s="22">
        <v>13</v>
      </c>
      <c r="E57" s="23">
        <v>3626</v>
      </c>
      <c r="F57" s="23">
        <f>E57*0.15</f>
        <v>543.9</v>
      </c>
      <c r="G57" s="23">
        <f>E57+F57</f>
        <v>4169.8999999999996</v>
      </c>
      <c r="H57" s="23"/>
      <c r="I57" s="23"/>
      <c r="J57" s="23"/>
      <c r="K57" s="23">
        <f>G57*0.3</f>
        <v>1250.9699999999998</v>
      </c>
      <c r="L57" s="23">
        <f>10000-G57-K57</f>
        <v>4579.130000000001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si="18"/>
        <v>120000</v>
      </c>
      <c r="T57" s="46"/>
    </row>
    <row r="58" spans="1:20" s="38" customFormat="1" x14ac:dyDescent="0.25">
      <c r="A58" s="43" t="s">
        <v>105</v>
      </c>
      <c r="B58" s="21" t="s">
        <v>106</v>
      </c>
      <c r="C58" s="22">
        <v>1</v>
      </c>
      <c r="D58" s="22">
        <v>5</v>
      </c>
      <c r="E58" s="23">
        <v>4345</v>
      </c>
      <c r="F58" s="23"/>
      <c r="G58" s="23">
        <f>E58+F58</f>
        <v>4345</v>
      </c>
      <c r="H58" s="23"/>
      <c r="I58" s="23"/>
      <c r="J58" s="23"/>
      <c r="K58" s="23"/>
      <c r="L58" s="23"/>
      <c r="M58" s="23"/>
      <c r="N58" s="23"/>
      <c r="O58" s="23"/>
      <c r="P58" s="23">
        <f>8000-G58</f>
        <v>3655</v>
      </c>
      <c r="Q58" s="32"/>
      <c r="R58" s="23">
        <f>G58+P58</f>
        <v>8000</v>
      </c>
      <c r="S58" s="25">
        <f t="shared" si="18"/>
        <v>96000</v>
      </c>
      <c r="T58" s="46"/>
    </row>
    <row r="59" spans="1:20" s="49" customFormat="1" ht="13.8" thickBot="1" x14ac:dyDescent="0.3">
      <c r="A59" s="64"/>
      <c r="B59" s="47" t="s">
        <v>59</v>
      </c>
      <c r="C59" s="34">
        <v>2.5</v>
      </c>
      <c r="D59" s="34"/>
      <c r="E59" s="35">
        <f>SUM(E55:E58)</f>
        <v>15463</v>
      </c>
      <c r="F59" s="35">
        <f t="shared" ref="F59" si="19">SUM(F55:F58)</f>
        <v>1474.4</v>
      </c>
      <c r="G59" s="35">
        <f>SUM(G55:G58)</f>
        <v>16937.400000000001</v>
      </c>
      <c r="H59" s="35"/>
      <c r="I59" s="35"/>
      <c r="J59" s="35"/>
      <c r="K59" s="35">
        <f t="shared" ref="K59:L59" si="20">SUM(K55:K58)</f>
        <v>3777.72</v>
      </c>
      <c r="L59" s="35">
        <f t="shared" si="20"/>
        <v>13629.880000000001</v>
      </c>
      <c r="M59" s="35"/>
      <c r="N59" s="35"/>
      <c r="O59" s="35"/>
      <c r="P59" s="35">
        <f t="shared" ref="P59:Q59" si="21">SUM(P55:P58)</f>
        <v>3655</v>
      </c>
      <c r="Q59" s="35">
        <f t="shared" si="21"/>
        <v>0</v>
      </c>
      <c r="R59" s="35">
        <f>SUM(G59:Q59)</f>
        <v>38000</v>
      </c>
      <c r="S59" s="36">
        <f>SUM(S55:S58)</f>
        <v>456000</v>
      </c>
      <c r="T59" s="48"/>
    </row>
    <row r="60" spans="1:20" ht="24" customHeight="1" x14ac:dyDescent="0.25">
      <c r="A60" s="18"/>
      <c r="B60" s="86" t="s">
        <v>107</v>
      </c>
      <c r="C60" s="86"/>
      <c r="D60" s="86"/>
      <c r="E60" s="92"/>
      <c r="F60" s="86"/>
      <c r="G60" s="94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3"/>
    </row>
    <row r="61" spans="1:20" s="13" customFormat="1" ht="38.4" customHeight="1" x14ac:dyDescent="0.2">
      <c r="A61" s="28"/>
      <c r="B61" s="29" t="s">
        <v>108</v>
      </c>
      <c r="C61" s="22"/>
      <c r="D61" s="22"/>
      <c r="E61" s="23"/>
      <c r="F61" s="22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5"/>
    </row>
    <row r="62" spans="1:20" ht="13.95" customHeight="1" x14ac:dyDescent="0.25">
      <c r="A62" s="20" t="s">
        <v>109</v>
      </c>
      <c r="B62" s="21" t="s">
        <v>110</v>
      </c>
      <c r="C62" s="22">
        <v>1</v>
      </c>
      <c r="D62" s="22">
        <v>11</v>
      </c>
      <c r="E62" s="23">
        <v>6294</v>
      </c>
      <c r="F62" s="22">
        <f>E62*0.25</f>
        <v>1573.5</v>
      </c>
      <c r="G62" s="23">
        <f t="shared" ref="G62:G120" si="22">E62+F62</f>
        <v>7867.5</v>
      </c>
      <c r="H62" s="23"/>
      <c r="I62" s="23"/>
      <c r="J62" s="23"/>
      <c r="K62" s="23">
        <f>G62*0.3</f>
        <v>2360.25</v>
      </c>
      <c r="L62" s="41">
        <f>20000-G62-K62</f>
        <v>9772.25</v>
      </c>
      <c r="M62" s="23"/>
      <c r="N62" s="23"/>
      <c r="O62" s="23"/>
      <c r="P62" s="23"/>
      <c r="Q62" s="23"/>
      <c r="R62" s="23">
        <f t="shared" ref="R62:R74" si="23">G62+K62+L62</f>
        <v>20000</v>
      </c>
      <c r="S62" s="25">
        <f>R62*12</f>
        <v>240000</v>
      </c>
    </row>
    <row r="63" spans="1:20" x14ac:dyDescent="0.25">
      <c r="A63" s="20" t="s">
        <v>111</v>
      </c>
      <c r="B63" s="21" t="s">
        <v>112</v>
      </c>
      <c r="C63" s="22">
        <v>1.25</v>
      </c>
      <c r="D63" s="22">
        <v>12</v>
      </c>
      <c r="E63" s="23">
        <f>6773*C63</f>
        <v>8466.25</v>
      </c>
      <c r="F63" s="22"/>
      <c r="G63" s="23">
        <f t="shared" si="22"/>
        <v>8466.25</v>
      </c>
      <c r="H63" s="23"/>
      <c r="I63" s="23"/>
      <c r="J63" s="23"/>
      <c r="K63" s="23">
        <f t="shared" ref="K63:K76" si="24">G63*0.3</f>
        <v>2539.875</v>
      </c>
      <c r="L63" s="23">
        <f>20000*C63-G63-K63</f>
        <v>13993.875</v>
      </c>
      <c r="M63" s="23"/>
      <c r="N63" s="23"/>
      <c r="O63" s="23"/>
      <c r="P63" s="23"/>
      <c r="Q63" s="23"/>
      <c r="R63" s="23">
        <f t="shared" si="23"/>
        <v>25000</v>
      </c>
      <c r="S63" s="25">
        <f t="shared" ref="S63:S79" si="25">R63*12</f>
        <v>300000</v>
      </c>
    </row>
    <row r="64" spans="1:20" x14ac:dyDescent="0.25">
      <c r="A64" s="20" t="s">
        <v>113</v>
      </c>
      <c r="B64" s="21" t="s">
        <v>114</v>
      </c>
      <c r="C64" s="22">
        <v>1</v>
      </c>
      <c r="D64" s="22">
        <v>14</v>
      </c>
      <c r="E64" s="23">
        <v>7732</v>
      </c>
      <c r="F64" s="22"/>
      <c r="G64" s="23">
        <f t="shared" si="22"/>
        <v>7732</v>
      </c>
      <c r="H64" s="23"/>
      <c r="I64" s="23"/>
      <c r="J64" s="23"/>
      <c r="K64" s="23">
        <f t="shared" si="24"/>
        <v>2319.6</v>
      </c>
      <c r="L64" s="41">
        <f>20000-G64-K64</f>
        <v>9948.4</v>
      </c>
      <c r="M64" s="23"/>
      <c r="N64" s="23"/>
      <c r="O64" s="23"/>
      <c r="P64" s="23"/>
      <c r="Q64" s="23"/>
      <c r="R64" s="23">
        <f t="shared" si="23"/>
        <v>20000</v>
      </c>
      <c r="S64" s="25">
        <f t="shared" si="25"/>
        <v>240000</v>
      </c>
    </row>
    <row r="65" spans="1:20" x14ac:dyDescent="0.25">
      <c r="A65" s="20" t="s">
        <v>115</v>
      </c>
      <c r="B65" s="21" t="s">
        <v>116</v>
      </c>
      <c r="C65" s="22">
        <v>0.5</v>
      </c>
      <c r="D65" s="22">
        <v>14</v>
      </c>
      <c r="E65" s="23">
        <v>3868</v>
      </c>
      <c r="F65" s="22"/>
      <c r="G65" s="23">
        <f t="shared" si="22"/>
        <v>3868</v>
      </c>
      <c r="H65" s="23"/>
      <c r="I65" s="23"/>
      <c r="J65" s="23"/>
      <c r="K65" s="23">
        <f t="shared" si="24"/>
        <v>1160.3999999999999</v>
      </c>
      <c r="L65" s="41">
        <f>20000/2-G65-K65</f>
        <v>4971.6000000000004</v>
      </c>
      <c r="M65" s="23"/>
      <c r="N65" s="23"/>
      <c r="O65" s="23"/>
      <c r="P65" s="23"/>
      <c r="Q65" s="23"/>
      <c r="R65" s="23">
        <f t="shared" si="23"/>
        <v>10000</v>
      </c>
      <c r="S65" s="25">
        <f t="shared" si="25"/>
        <v>120000</v>
      </c>
    </row>
    <row r="66" spans="1:20" x14ac:dyDescent="0.25">
      <c r="A66" s="20" t="s">
        <v>117</v>
      </c>
      <c r="B66" s="21" t="s">
        <v>118</v>
      </c>
      <c r="C66" s="22">
        <v>0.25</v>
      </c>
      <c r="D66" s="22">
        <v>14</v>
      </c>
      <c r="E66" s="23">
        <f>7732*C66</f>
        <v>1933</v>
      </c>
      <c r="F66" s="22"/>
      <c r="G66" s="23">
        <f t="shared" si="22"/>
        <v>1933</v>
      </c>
      <c r="H66" s="23"/>
      <c r="I66" s="23"/>
      <c r="J66" s="23"/>
      <c r="K66" s="23">
        <f t="shared" si="24"/>
        <v>579.9</v>
      </c>
      <c r="L66" s="41">
        <f>20000*C66-G66-K66</f>
        <v>2487.1</v>
      </c>
      <c r="M66" s="23"/>
      <c r="N66" s="23"/>
      <c r="O66" s="23"/>
      <c r="P66" s="23"/>
      <c r="Q66" s="23"/>
      <c r="R66" s="23">
        <f t="shared" si="23"/>
        <v>5000</v>
      </c>
      <c r="S66" s="25">
        <f t="shared" si="25"/>
        <v>60000</v>
      </c>
    </row>
    <row r="67" spans="1:20" x14ac:dyDescent="0.25">
      <c r="A67" s="20" t="s">
        <v>119</v>
      </c>
      <c r="B67" s="21" t="s">
        <v>120</v>
      </c>
      <c r="C67" s="22">
        <v>2.75</v>
      </c>
      <c r="D67" s="22">
        <v>13</v>
      </c>
      <c r="E67" s="23">
        <f>7253*C67</f>
        <v>19945.75</v>
      </c>
      <c r="F67" s="22"/>
      <c r="G67" s="23">
        <f t="shared" si="22"/>
        <v>19945.75</v>
      </c>
      <c r="H67" s="23"/>
      <c r="I67" s="23"/>
      <c r="J67" s="23"/>
      <c r="K67" s="23">
        <f t="shared" si="24"/>
        <v>5983.7249999999995</v>
      </c>
      <c r="L67" s="41">
        <f t="shared" ref="L67:L72" si="26">20000*C67-G67-K67-N67</f>
        <v>26652.835000000003</v>
      </c>
      <c r="M67" s="23"/>
      <c r="N67" s="23">
        <f>879.16*C67</f>
        <v>2417.69</v>
      </c>
      <c r="O67" s="23"/>
      <c r="P67" s="23"/>
      <c r="Q67" s="23"/>
      <c r="R67" s="23">
        <f t="shared" ref="R67:R72" si="27">G67+K67+L67+N67</f>
        <v>55000</v>
      </c>
      <c r="S67" s="25">
        <f t="shared" si="25"/>
        <v>660000</v>
      </c>
    </row>
    <row r="68" spans="1:20" x14ac:dyDescent="0.25">
      <c r="A68" s="20" t="s">
        <v>119</v>
      </c>
      <c r="B68" s="21" t="s">
        <v>121</v>
      </c>
      <c r="C68" s="22">
        <v>0.5</v>
      </c>
      <c r="D68" s="22">
        <v>14</v>
      </c>
      <c r="E68" s="23">
        <f>7732*C68</f>
        <v>3866</v>
      </c>
      <c r="F68" s="22"/>
      <c r="G68" s="23">
        <f t="shared" si="22"/>
        <v>3866</v>
      </c>
      <c r="H68" s="23"/>
      <c r="I68" s="23"/>
      <c r="J68" s="23"/>
      <c r="K68" s="23">
        <f t="shared" si="24"/>
        <v>1159.8</v>
      </c>
      <c r="L68" s="41">
        <f t="shared" si="26"/>
        <v>4505.5999999999995</v>
      </c>
      <c r="M68" s="23"/>
      <c r="N68" s="23">
        <v>468.6</v>
      </c>
      <c r="O68" s="23"/>
      <c r="P68" s="23"/>
      <c r="Q68" s="23"/>
      <c r="R68" s="23">
        <f t="shared" si="27"/>
        <v>10000</v>
      </c>
      <c r="S68" s="25">
        <f t="shared" si="25"/>
        <v>120000</v>
      </c>
    </row>
    <row r="69" spans="1:20" x14ac:dyDescent="0.25">
      <c r="A69" s="20" t="s">
        <v>119</v>
      </c>
      <c r="B69" s="21" t="s">
        <v>122</v>
      </c>
      <c r="C69" s="22">
        <v>0.25</v>
      </c>
      <c r="D69" s="22">
        <v>14</v>
      </c>
      <c r="E69" s="23">
        <f>7732*C69</f>
        <v>1933</v>
      </c>
      <c r="F69" s="22"/>
      <c r="G69" s="23">
        <f t="shared" si="22"/>
        <v>1933</v>
      </c>
      <c r="H69" s="23"/>
      <c r="I69" s="23"/>
      <c r="J69" s="23"/>
      <c r="K69" s="23">
        <f t="shared" si="24"/>
        <v>579.9</v>
      </c>
      <c r="L69" s="41">
        <f t="shared" si="26"/>
        <v>2252.7999999999997</v>
      </c>
      <c r="M69" s="23"/>
      <c r="N69" s="23">
        <v>234.3</v>
      </c>
      <c r="O69" s="23"/>
      <c r="P69" s="23"/>
      <c r="Q69" s="23"/>
      <c r="R69" s="23">
        <f t="shared" si="27"/>
        <v>5000</v>
      </c>
      <c r="S69" s="25">
        <f t="shared" si="25"/>
        <v>60000</v>
      </c>
    </row>
    <row r="70" spans="1:20" x14ac:dyDescent="0.25">
      <c r="A70" s="20" t="s">
        <v>119</v>
      </c>
      <c r="B70" s="21" t="s">
        <v>123</v>
      </c>
      <c r="C70" s="22">
        <v>0.25</v>
      </c>
      <c r="D70" s="22">
        <v>14</v>
      </c>
      <c r="E70" s="23">
        <f>7732*C70</f>
        <v>1933</v>
      </c>
      <c r="F70" s="22"/>
      <c r="G70" s="23">
        <f t="shared" si="22"/>
        <v>1933</v>
      </c>
      <c r="H70" s="23"/>
      <c r="I70" s="23"/>
      <c r="J70" s="23"/>
      <c r="K70" s="23">
        <f t="shared" si="24"/>
        <v>579.9</v>
      </c>
      <c r="L70" s="41">
        <f t="shared" si="26"/>
        <v>2252.7999999999997</v>
      </c>
      <c r="M70" s="23"/>
      <c r="N70" s="23">
        <v>234.3</v>
      </c>
      <c r="O70" s="23"/>
      <c r="P70" s="23"/>
      <c r="Q70" s="23"/>
      <c r="R70" s="23">
        <f t="shared" si="27"/>
        <v>5000</v>
      </c>
      <c r="S70" s="25">
        <f t="shared" si="25"/>
        <v>60000</v>
      </c>
    </row>
    <row r="71" spans="1:20" x14ac:dyDescent="0.25">
      <c r="A71" s="20" t="s">
        <v>119</v>
      </c>
      <c r="B71" s="21" t="s">
        <v>124</v>
      </c>
      <c r="C71" s="22">
        <v>1</v>
      </c>
      <c r="D71" s="22">
        <v>14</v>
      </c>
      <c r="E71" s="23">
        <f>7732*C71</f>
        <v>7732</v>
      </c>
      <c r="F71" s="22"/>
      <c r="G71" s="23">
        <f t="shared" si="22"/>
        <v>7732</v>
      </c>
      <c r="H71" s="23"/>
      <c r="I71" s="23"/>
      <c r="J71" s="23"/>
      <c r="K71" s="23">
        <f t="shared" si="24"/>
        <v>2319.6</v>
      </c>
      <c r="L71" s="41">
        <f t="shared" si="26"/>
        <v>9011.1999999999989</v>
      </c>
      <c r="M71" s="23"/>
      <c r="N71" s="23">
        <v>937.2</v>
      </c>
      <c r="O71" s="23"/>
      <c r="P71" s="23"/>
      <c r="Q71" s="23"/>
      <c r="R71" s="23">
        <f t="shared" si="27"/>
        <v>20000</v>
      </c>
      <c r="S71" s="25">
        <f t="shared" si="25"/>
        <v>240000</v>
      </c>
    </row>
    <row r="72" spans="1:20" x14ac:dyDescent="0.25">
      <c r="A72" s="20" t="s">
        <v>119</v>
      </c>
      <c r="B72" s="21" t="s">
        <v>125</v>
      </c>
      <c r="C72" s="22">
        <v>0.5</v>
      </c>
      <c r="D72" s="22">
        <v>13</v>
      </c>
      <c r="E72" s="23">
        <f>7253*C72</f>
        <v>3626.5</v>
      </c>
      <c r="F72" s="22"/>
      <c r="G72" s="23">
        <f t="shared" si="22"/>
        <v>3626.5</v>
      </c>
      <c r="H72" s="23"/>
      <c r="I72" s="23"/>
      <c r="J72" s="23"/>
      <c r="K72" s="23">
        <f t="shared" si="24"/>
        <v>1087.95</v>
      </c>
      <c r="L72" s="41">
        <f t="shared" si="26"/>
        <v>4845.97</v>
      </c>
      <c r="M72" s="23"/>
      <c r="N72" s="23">
        <f>879.16*C72</f>
        <v>439.58</v>
      </c>
      <c r="O72" s="23"/>
      <c r="P72" s="23"/>
      <c r="Q72" s="23"/>
      <c r="R72" s="23">
        <f t="shared" si="27"/>
        <v>10000</v>
      </c>
      <c r="S72" s="25">
        <f t="shared" si="25"/>
        <v>120000</v>
      </c>
    </row>
    <row r="73" spans="1:20" s="13" customFormat="1" x14ac:dyDescent="0.25">
      <c r="A73" s="20" t="s">
        <v>119</v>
      </c>
      <c r="B73" s="21" t="s">
        <v>126</v>
      </c>
      <c r="C73" s="22">
        <v>0.25</v>
      </c>
      <c r="D73" s="22">
        <v>14</v>
      </c>
      <c r="E73" s="23">
        <f>7732*C73</f>
        <v>1933</v>
      </c>
      <c r="F73" s="22"/>
      <c r="G73" s="23">
        <f>E73+F73</f>
        <v>1933</v>
      </c>
      <c r="H73" s="23"/>
      <c r="I73" s="23"/>
      <c r="J73" s="23"/>
      <c r="K73" s="23">
        <f t="shared" si="24"/>
        <v>579.9</v>
      </c>
      <c r="L73" s="23">
        <f>20000*C73-G73-K73</f>
        <v>2487.1</v>
      </c>
      <c r="M73" s="23"/>
      <c r="N73" s="23">
        <v>234.3</v>
      </c>
      <c r="O73" s="23"/>
      <c r="P73" s="23"/>
      <c r="Q73" s="23"/>
      <c r="R73" s="23">
        <f>G73+K73+L73</f>
        <v>5000</v>
      </c>
      <c r="S73" s="25">
        <f t="shared" si="25"/>
        <v>60000</v>
      </c>
      <c r="T73" s="52"/>
    </row>
    <row r="74" spans="1:20" x14ac:dyDescent="0.25">
      <c r="A74" s="20" t="s">
        <v>127</v>
      </c>
      <c r="B74" s="21" t="s">
        <v>128</v>
      </c>
      <c r="C74" s="22">
        <v>1</v>
      </c>
      <c r="D74" s="22">
        <v>9</v>
      </c>
      <c r="E74" s="23">
        <v>5527</v>
      </c>
      <c r="F74" s="22">
        <f>E74*0.1</f>
        <v>552.70000000000005</v>
      </c>
      <c r="G74" s="23">
        <f t="shared" si="22"/>
        <v>6079.7</v>
      </c>
      <c r="H74" s="23"/>
      <c r="I74" s="23"/>
      <c r="J74" s="23"/>
      <c r="K74" s="23">
        <f t="shared" si="24"/>
        <v>1823.9099999999999</v>
      </c>
      <c r="L74" s="41">
        <v>5596.39</v>
      </c>
      <c r="M74" s="23"/>
      <c r="N74" s="23"/>
      <c r="O74" s="23"/>
      <c r="P74" s="23"/>
      <c r="Q74" s="23"/>
      <c r="R74" s="23">
        <f t="shared" si="23"/>
        <v>13500</v>
      </c>
      <c r="S74" s="25">
        <f t="shared" si="25"/>
        <v>162000</v>
      </c>
    </row>
    <row r="75" spans="1:20" x14ac:dyDescent="0.25">
      <c r="A75" s="20" t="s">
        <v>129</v>
      </c>
      <c r="B75" s="21" t="s">
        <v>130</v>
      </c>
      <c r="C75" s="22">
        <v>10</v>
      </c>
      <c r="D75" s="22">
        <v>9</v>
      </c>
      <c r="E75" s="23">
        <f>5527*C75</f>
        <v>55270</v>
      </c>
      <c r="F75" s="22"/>
      <c r="G75" s="23">
        <f t="shared" si="22"/>
        <v>55270</v>
      </c>
      <c r="H75" s="23"/>
      <c r="I75" s="23">
        <f t="shared" ref="I75:I77" si="28">G75*0.1</f>
        <v>5527</v>
      </c>
      <c r="J75" s="23"/>
      <c r="K75" s="23">
        <f t="shared" si="24"/>
        <v>16581</v>
      </c>
      <c r="L75" s="41">
        <f>13500*C75-G75-I75-K75-N75</f>
        <v>50922.6</v>
      </c>
      <c r="M75" s="23"/>
      <c r="N75" s="23">
        <f>669.94*C75</f>
        <v>6699.4000000000005</v>
      </c>
      <c r="O75" s="23"/>
      <c r="P75" s="23"/>
      <c r="Q75" s="23"/>
      <c r="R75" s="23">
        <f>G75+I75+K75+L75+N75</f>
        <v>135000</v>
      </c>
      <c r="S75" s="25">
        <f t="shared" si="25"/>
        <v>1620000</v>
      </c>
    </row>
    <row r="76" spans="1:20" x14ac:dyDescent="0.25">
      <c r="A76" s="20" t="s">
        <v>131</v>
      </c>
      <c r="B76" s="21" t="s">
        <v>132</v>
      </c>
      <c r="C76" s="22">
        <v>1</v>
      </c>
      <c r="D76" s="22">
        <v>6</v>
      </c>
      <c r="E76" s="23">
        <v>4633</v>
      </c>
      <c r="F76" s="22"/>
      <c r="G76" s="23">
        <f t="shared" si="22"/>
        <v>4633</v>
      </c>
      <c r="H76" s="23"/>
      <c r="I76" s="23">
        <f t="shared" si="28"/>
        <v>463.3</v>
      </c>
      <c r="J76" s="23"/>
      <c r="K76" s="23">
        <f t="shared" si="24"/>
        <v>1389.8999999999999</v>
      </c>
      <c r="L76" s="41">
        <f t="shared" ref="L76" si="29">13500-G76-I76-K76</f>
        <v>7013.8000000000011</v>
      </c>
      <c r="M76" s="23"/>
      <c r="N76" s="23"/>
      <c r="O76" s="23"/>
      <c r="P76" s="23"/>
      <c r="Q76" s="23"/>
      <c r="R76" s="23">
        <f t="shared" ref="R76" si="30">G76+I76+K76+L76</f>
        <v>13500</v>
      </c>
      <c r="S76" s="25">
        <f t="shared" si="25"/>
        <v>162000</v>
      </c>
    </row>
    <row r="77" spans="1:20" x14ac:dyDescent="0.25">
      <c r="A77" s="20" t="s">
        <v>133</v>
      </c>
      <c r="B77" s="21" t="s">
        <v>134</v>
      </c>
      <c r="C77" s="22">
        <v>6</v>
      </c>
      <c r="D77" s="22">
        <v>4</v>
      </c>
      <c r="E77" s="23">
        <f>4058*C77</f>
        <v>24348</v>
      </c>
      <c r="F77" s="22"/>
      <c r="G77" s="23">
        <f t="shared" si="22"/>
        <v>24348</v>
      </c>
      <c r="H77" s="23"/>
      <c r="I77" s="23">
        <f t="shared" si="28"/>
        <v>2434.8000000000002</v>
      </c>
      <c r="J77" s="23"/>
      <c r="K77" s="23"/>
      <c r="L77" s="23"/>
      <c r="M77" s="23"/>
      <c r="N77" s="23">
        <f>475.33*C77</f>
        <v>2851.98</v>
      </c>
      <c r="O77" s="23"/>
      <c r="P77" s="23">
        <f>8000*C77-G77</f>
        <v>23652</v>
      </c>
      <c r="Q77" s="23"/>
      <c r="R77" s="23">
        <f>E77+I77+P77+N77</f>
        <v>53286.780000000006</v>
      </c>
      <c r="S77" s="25">
        <f t="shared" si="25"/>
        <v>639441.3600000001</v>
      </c>
    </row>
    <row r="78" spans="1:20" x14ac:dyDescent="0.25">
      <c r="A78" s="20" t="s">
        <v>135</v>
      </c>
      <c r="B78" s="21" t="s">
        <v>136</v>
      </c>
      <c r="C78" s="22">
        <v>1</v>
      </c>
      <c r="D78" s="22">
        <v>3</v>
      </c>
      <c r="E78" s="23">
        <v>3770</v>
      </c>
      <c r="F78" s="22"/>
      <c r="G78" s="23">
        <f t="shared" si="22"/>
        <v>3770</v>
      </c>
      <c r="H78" s="23"/>
      <c r="I78" s="23"/>
      <c r="J78" s="23"/>
      <c r="K78" s="23"/>
      <c r="L78" s="23"/>
      <c r="M78" s="23"/>
      <c r="N78" s="23"/>
      <c r="O78" s="23"/>
      <c r="P78" s="23">
        <f t="shared" ref="P78:P79" si="31">8000-G78</f>
        <v>4230</v>
      </c>
      <c r="Q78" s="23"/>
      <c r="R78" s="23">
        <f>G78+P78</f>
        <v>8000</v>
      </c>
      <c r="S78" s="25">
        <f t="shared" si="25"/>
        <v>96000</v>
      </c>
      <c r="T78" s="53"/>
    </row>
    <row r="79" spans="1:20" x14ac:dyDescent="0.25">
      <c r="A79" s="20" t="s">
        <v>137</v>
      </c>
      <c r="B79" s="21" t="s">
        <v>138</v>
      </c>
      <c r="C79" s="22">
        <v>1</v>
      </c>
      <c r="D79" s="22">
        <v>4</v>
      </c>
      <c r="E79" s="23">
        <v>4058</v>
      </c>
      <c r="F79" s="22"/>
      <c r="G79" s="23">
        <f t="shared" si="22"/>
        <v>4058</v>
      </c>
      <c r="H79" s="23"/>
      <c r="I79" s="23"/>
      <c r="J79" s="23"/>
      <c r="K79" s="23"/>
      <c r="L79" s="23"/>
      <c r="M79" s="23"/>
      <c r="N79" s="23"/>
      <c r="O79" s="23"/>
      <c r="P79" s="23">
        <f t="shared" si="31"/>
        <v>3942</v>
      </c>
      <c r="Q79" s="23"/>
      <c r="R79" s="23">
        <f>G79+P79</f>
        <v>8000</v>
      </c>
      <c r="S79" s="25">
        <f t="shared" si="25"/>
        <v>96000</v>
      </c>
      <c r="T79" s="53"/>
    </row>
    <row r="80" spans="1:20" s="27" customFormat="1" ht="24.6" customHeight="1" thickBot="1" x14ac:dyDescent="0.3">
      <c r="A80" s="64"/>
      <c r="B80" s="47" t="s">
        <v>59</v>
      </c>
      <c r="C80" s="34">
        <f>SUM(C62:C79)</f>
        <v>29.5</v>
      </c>
      <c r="D80" s="34"/>
      <c r="E80" s="35">
        <f>SUM(E62:E79)</f>
        <v>166868.5</v>
      </c>
      <c r="F80" s="34">
        <f>SUM(F62:F79)</f>
        <v>2126.1999999999998</v>
      </c>
      <c r="G80" s="35">
        <f>SUM(G62:G79)</f>
        <v>168994.7</v>
      </c>
      <c r="H80" s="35"/>
      <c r="I80" s="35">
        <f>SUM(I62:I79)</f>
        <v>8425.1</v>
      </c>
      <c r="J80" s="35"/>
      <c r="K80" s="35">
        <f>SUM(K62:K79)</f>
        <v>41045.610000000008</v>
      </c>
      <c r="L80" s="35">
        <f>SUM(L62:L79)</f>
        <v>156714.32</v>
      </c>
      <c r="M80" s="35"/>
      <c r="N80" s="35">
        <f>SUM(N67:N79)</f>
        <v>14517.35</v>
      </c>
      <c r="O80" s="35"/>
      <c r="P80" s="35">
        <f>SUM(P62:P79)</f>
        <v>31824</v>
      </c>
      <c r="Q80" s="35"/>
      <c r="R80" s="35">
        <f>SUM(R62:R79)</f>
        <v>421286.78</v>
      </c>
      <c r="S80" s="36">
        <f>SUM(S62:S79)</f>
        <v>5055441.3600000003</v>
      </c>
      <c r="T80" s="54"/>
    </row>
    <row r="81" spans="1:20" s="13" customFormat="1" ht="27.6" customHeight="1" x14ac:dyDescent="0.2">
      <c r="A81" s="18"/>
      <c r="B81" s="55" t="s">
        <v>139</v>
      </c>
      <c r="C81" s="85"/>
      <c r="D81" s="85"/>
      <c r="E81" s="94"/>
      <c r="F81" s="85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110"/>
      <c r="T81" s="52"/>
    </row>
    <row r="82" spans="1:20" s="13" customFormat="1" x14ac:dyDescent="0.25">
      <c r="A82" s="20" t="s">
        <v>140</v>
      </c>
      <c r="B82" s="21" t="s">
        <v>100</v>
      </c>
      <c r="C82" s="22">
        <v>1</v>
      </c>
      <c r="D82" s="22">
        <v>12</v>
      </c>
      <c r="E82" s="23">
        <v>6773</v>
      </c>
      <c r="F82" s="22">
        <f>E82*0.25</f>
        <v>1693.25</v>
      </c>
      <c r="G82" s="23">
        <f t="shared" ref="G82:G108" si="32">E82+F82</f>
        <v>8466.25</v>
      </c>
      <c r="H82" s="23"/>
      <c r="I82" s="23"/>
      <c r="J82" s="23"/>
      <c r="K82" s="23">
        <f>G82*0.3</f>
        <v>2539.875</v>
      </c>
      <c r="L82" s="23">
        <f t="shared" ref="L82" si="33">20000-G82-K82</f>
        <v>8993.875</v>
      </c>
      <c r="M82" s="23"/>
      <c r="N82" s="23"/>
      <c r="O82" s="23"/>
      <c r="P82" s="23"/>
      <c r="Q82" s="23"/>
      <c r="R82" s="23">
        <f t="shared" ref="R82:R84" si="34">G82+K82+L82</f>
        <v>20000</v>
      </c>
      <c r="S82" s="25">
        <f>R82*12</f>
        <v>240000</v>
      </c>
      <c r="T82" s="52"/>
    </row>
    <row r="83" spans="1:20" s="13" customFormat="1" x14ac:dyDescent="0.25">
      <c r="A83" s="20" t="s">
        <v>141</v>
      </c>
      <c r="B83" s="21" t="s">
        <v>142</v>
      </c>
      <c r="C83" s="22">
        <v>1.5</v>
      </c>
      <c r="D83" s="22">
        <v>14</v>
      </c>
      <c r="E83" s="23">
        <v>11598</v>
      </c>
      <c r="F83" s="22"/>
      <c r="G83" s="23">
        <f t="shared" si="32"/>
        <v>11598</v>
      </c>
      <c r="H83" s="23"/>
      <c r="I83" s="23"/>
      <c r="J83" s="23"/>
      <c r="K83" s="23">
        <f t="shared" ref="K83:K106" si="35">G83*0.3</f>
        <v>3479.4</v>
      </c>
      <c r="L83" s="23">
        <f>30000-G83-K83</f>
        <v>14922.6</v>
      </c>
      <c r="M83" s="23"/>
      <c r="N83" s="23"/>
      <c r="O83" s="23"/>
      <c r="P83" s="23"/>
      <c r="Q83" s="23"/>
      <c r="R83" s="23">
        <f t="shared" si="34"/>
        <v>30000</v>
      </c>
      <c r="S83" s="25">
        <f t="shared" ref="S83:S108" si="36">R83*12</f>
        <v>360000</v>
      </c>
      <c r="T83" s="52"/>
    </row>
    <row r="84" spans="1:20" s="13" customFormat="1" x14ac:dyDescent="0.25">
      <c r="A84" s="20" t="s">
        <v>143</v>
      </c>
      <c r="B84" s="21" t="s">
        <v>144</v>
      </c>
      <c r="C84" s="22">
        <v>1</v>
      </c>
      <c r="D84" s="22">
        <v>12</v>
      </c>
      <c r="E84" s="23">
        <v>6773</v>
      </c>
      <c r="F84" s="23">
        <f>E84*0.15</f>
        <v>1015.9499999999999</v>
      </c>
      <c r="G84" s="23">
        <f t="shared" si="32"/>
        <v>7788.95</v>
      </c>
      <c r="H84" s="23"/>
      <c r="I84" s="23"/>
      <c r="J84" s="23"/>
      <c r="K84" s="23">
        <f t="shared" si="35"/>
        <v>2336.6849999999999</v>
      </c>
      <c r="L84" s="23">
        <f t="shared" ref="L84" si="37">20000-G84-K84</f>
        <v>9874.3649999999998</v>
      </c>
      <c r="M84" s="23"/>
      <c r="N84" s="23"/>
      <c r="O84" s="23"/>
      <c r="P84" s="23"/>
      <c r="Q84" s="23"/>
      <c r="R84" s="23">
        <f t="shared" si="34"/>
        <v>20000</v>
      </c>
      <c r="S84" s="25">
        <f t="shared" si="36"/>
        <v>240000</v>
      </c>
      <c r="T84" s="52"/>
    </row>
    <row r="85" spans="1:20" s="13" customFormat="1" x14ac:dyDescent="0.25">
      <c r="A85" s="20" t="s">
        <v>145</v>
      </c>
      <c r="B85" s="21" t="s">
        <v>146</v>
      </c>
      <c r="C85" s="22">
        <v>1</v>
      </c>
      <c r="D85" s="22">
        <v>11</v>
      </c>
      <c r="E85" s="23">
        <v>6294</v>
      </c>
      <c r="F85" s="22"/>
      <c r="G85" s="23">
        <f t="shared" si="32"/>
        <v>6294</v>
      </c>
      <c r="H85" s="23"/>
      <c r="I85" s="23"/>
      <c r="J85" s="23"/>
      <c r="K85" s="23">
        <f t="shared" si="35"/>
        <v>1888.1999999999998</v>
      </c>
      <c r="L85" s="23">
        <f>20000-G85-K85</f>
        <v>11817.8</v>
      </c>
      <c r="M85" s="23"/>
      <c r="N85" s="23"/>
      <c r="O85" s="23"/>
      <c r="P85" s="23"/>
      <c r="Q85" s="23"/>
      <c r="R85" s="23">
        <f>G85+K85+L85</f>
        <v>20000</v>
      </c>
      <c r="S85" s="25">
        <f t="shared" si="36"/>
        <v>240000</v>
      </c>
      <c r="T85" s="52"/>
    </row>
    <row r="86" spans="1:20" s="13" customFormat="1" x14ac:dyDescent="0.25">
      <c r="A86" s="20" t="s">
        <v>147</v>
      </c>
      <c r="B86" s="21" t="s">
        <v>148</v>
      </c>
      <c r="C86" s="22">
        <v>1</v>
      </c>
      <c r="D86" s="22">
        <v>11</v>
      </c>
      <c r="E86" s="23">
        <v>6294</v>
      </c>
      <c r="F86" s="22"/>
      <c r="G86" s="23">
        <f t="shared" si="32"/>
        <v>6294</v>
      </c>
      <c r="H86" s="23"/>
      <c r="I86" s="23"/>
      <c r="J86" s="23"/>
      <c r="K86" s="23">
        <f t="shared" si="35"/>
        <v>1888.1999999999998</v>
      </c>
      <c r="L86" s="23">
        <f t="shared" ref="L86" si="38">20000-G86-K86</f>
        <v>11817.8</v>
      </c>
      <c r="M86" s="23"/>
      <c r="N86" s="23"/>
      <c r="O86" s="23"/>
      <c r="P86" s="23"/>
      <c r="Q86" s="23"/>
      <c r="R86" s="23">
        <f t="shared" ref="R86:R100" si="39">G86+K86+L86</f>
        <v>20000</v>
      </c>
      <c r="S86" s="25">
        <f t="shared" si="36"/>
        <v>240000</v>
      </c>
      <c r="T86" s="52"/>
    </row>
    <row r="87" spans="1:20" s="13" customFormat="1" x14ac:dyDescent="0.25">
      <c r="A87" s="20" t="s">
        <v>149</v>
      </c>
      <c r="B87" s="21" t="s">
        <v>150</v>
      </c>
      <c r="C87" s="22">
        <v>0.5</v>
      </c>
      <c r="D87" s="22">
        <v>14</v>
      </c>
      <c r="E87" s="23">
        <f>7732*C87</f>
        <v>3866</v>
      </c>
      <c r="F87" s="22"/>
      <c r="G87" s="23">
        <f t="shared" si="32"/>
        <v>3866</v>
      </c>
      <c r="H87" s="23"/>
      <c r="I87" s="23"/>
      <c r="J87" s="23"/>
      <c r="K87" s="23">
        <f t="shared" si="35"/>
        <v>1159.8</v>
      </c>
      <c r="L87" s="23">
        <f>20000*C87-G87-K87</f>
        <v>4974.2</v>
      </c>
      <c r="M87" s="23"/>
      <c r="N87" s="23"/>
      <c r="O87" s="23"/>
      <c r="P87" s="23"/>
      <c r="Q87" s="23"/>
      <c r="R87" s="23">
        <f t="shared" si="39"/>
        <v>10000</v>
      </c>
      <c r="S87" s="25">
        <f t="shared" si="36"/>
        <v>120000</v>
      </c>
      <c r="T87" s="52"/>
    </row>
    <row r="88" spans="1:20" s="13" customFormat="1" x14ac:dyDescent="0.25">
      <c r="A88" s="20" t="s">
        <v>151</v>
      </c>
      <c r="B88" s="21" t="s">
        <v>104</v>
      </c>
      <c r="C88" s="22">
        <v>0.5</v>
      </c>
      <c r="D88" s="22">
        <v>11</v>
      </c>
      <c r="E88" s="23">
        <v>3147</v>
      </c>
      <c r="F88" s="23">
        <f>E88*0.15</f>
        <v>472.04999999999995</v>
      </c>
      <c r="G88" s="23">
        <f t="shared" si="32"/>
        <v>3619.05</v>
      </c>
      <c r="H88" s="23"/>
      <c r="I88" s="23"/>
      <c r="J88" s="23"/>
      <c r="K88" s="23">
        <f t="shared" si="35"/>
        <v>1085.7149999999999</v>
      </c>
      <c r="L88" s="23">
        <f>20000/2-G88-K88</f>
        <v>5295.2349999999997</v>
      </c>
      <c r="M88" s="23"/>
      <c r="N88" s="23"/>
      <c r="O88" s="23"/>
      <c r="P88" s="23"/>
      <c r="Q88" s="23"/>
      <c r="R88" s="23">
        <f t="shared" si="39"/>
        <v>10000</v>
      </c>
      <c r="S88" s="25">
        <f t="shared" si="36"/>
        <v>120000</v>
      </c>
      <c r="T88" s="52"/>
    </row>
    <row r="89" spans="1:20" s="13" customFormat="1" x14ac:dyDescent="0.25">
      <c r="A89" s="20" t="s">
        <v>152</v>
      </c>
      <c r="B89" s="21" t="s">
        <v>153</v>
      </c>
      <c r="C89" s="22">
        <v>2</v>
      </c>
      <c r="D89" s="22">
        <v>14</v>
      </c>
      <c r="E89" s="23">
        <f>7732*C89</f>
        <v>15464</v>
      </c>
      <c r="F89" s="23">
        <f>E89*0.15</f>
        <v>2319.6</v>
      </c>
      <c r="G89" s="23">
        <f t="shared" si="32"/>
        <v>17783.599999999999</v>
      </c>
      <c r="H89" s="23"/>
      <c r="I89" s="23"/>
      <c r="J89" s="23"/>
      <c r="K89" s="23">
        <f t="shared" si="35"/>
        <v>5335.079999999999</v>
      </c>
      <c r="L89" s="23">
        <f>20000*C89-G89-K89</f>
        <v>16881.320000000003</v>
      </c>
      <c r="M89" s="23"/>
      <c r="N89" s="23"/>
      <c r="O89" s="23"/>
      <c r="P89" s="23"/>
      <c r="Q89" s="23"/>
      <c r="R89" s="23">
        <f t="shared" si="39"/>
        <v>40000</v>
      </c>
      <c r="S89" s="25">
        <f t="shared" si="36"/>
        <v>480000</v>
      </c>
      <c r="T89" s="52"/>
    </row>
    <row r="90" spans="1:20" s="13" customFormat="1" x14ac:dyDescent="0.25">
      <c r="A90" s="20" t="s">
        <v>154</v>
      </c>
      <c r="B90" s="21" t="s">
        <v>155</v>
      </c>
      <c r="C90" s="22">
        <v>1</v>
      </c>
      <c r="D90" s="22">
        <v>13</v>
      </c>
      <c r="E90" s="23">
        <v>7253</v>
      </c>
      <c r="F90" s="22"/>
      <c r="G90" s="23">
        <f t="shared" si="32"/>
        <v>7253</v>
      </c>
      <c r="H90" s="23"/>
      <c r="I90" s="23"/>
      <c r="J90" s="23"/>
      <c r="K90" s="23">
        <f t="shared" si="35"/>
        <v>2175.9</v>
      </c>
      <c r="L90" s="23">
        <f>20000-G90-K90</f>
        <v>10571.1</v>
      </c>
      <c r="M90" s="23"/>
      <c r="N90" s="23"/>
      <c r="O90" s="23"/>
      <c r="P90" s="23"/>
      <c r="Q90" s="23"/>
      <c r="R90" s="23">
        <f t="shared" si="39"/>
        <v>20000</v>
      </c>
      <c r="S90" s="25">
        <f t="shared" si="36"/>
        <v>240000</v>
      </c>
      <c r="T90" s="52"/>
    </row>
    <row r="91" spans="1:20" x14ac:dyDescent="0.25">
      <c r="A91" s="20" t="s">
        <v>156</v>
      </c>
      <c r="B91" s="21" t="s">
        <v>157</v>
      </c>
      <c r="C91" s="22">
        <v>1</v>
      </c>
      <c r="D91" s="22">
        <v>14</v>
      </c>
      <c r="E91" s="23">
        <v>7732</v>
      </c>
      <c r="F91" s="23">
        <f>E91*0.15</f>
        <v>1159.8</v>
      </c>
      <c r="G91" s="23">
        <f t="shared" si="32"/>
        <v>8891.7999999999993</v>
      </c>
      <c r="H91" s="23"/>
      <c r="I91" s="23"/>
      <c r="J91" s="23"/>
      <c r="K91" s="23">
        <f t="shared" si="35"/>
        <v>2667.5399999999995</v>
      </c>
      <c r="L91" s="23">
        <f>20000-G91-K91</f>
        <v>8440.6600000000017</v>
      </c>
      <c r="M91" s="23"/>
      <c r="N91" s="23"/>
      <c r="O91" s="23"/>
      <c r="P91" s="23"/>
      <c r="Q91" s="23"/>
      <c r="R91" s="23">
        <f t="shared" si="39"/>
        <v>20000</v>
      </c>
      <c r="S91" s="25">
        <f t="shared" si="36"/>
        <v>240000</v>
      </c>
      <c r="T91" s="53"/>
    </row>
    <row r="92" spans="1:20" s="13" customFormat="1" x14ac:dyDescent="0.25">
      <c r="A92" s="20" t="s">
        <v>119</v>
      </c>
      <c r="B92" s="21" t="s">
        <v>158</v>
      </c>
      <c r="C92" s="22">
        <v>0.25</v>
      </c>
      <c r="D92" s="22">
        <v>14</v>
      </c>
      <c r="E92" s="23">
        <f>7732*C92</f>
        <v>1933</v>
      </c>
      <c r="F92" s="22"/>
      <c r="G92" s="23">
        <f>E92+F92</f>
        <v>1933</v>
      </c>
      <c r="H92" s="23"/>
      <c r="I92" s="23"/>
      <c r="J92" s="23"/>
      <c r="K92" s="23">
        <f t="shared" si="35"/>
        <v>579.9</v>
      </c>
      <c r="L92" s="23">
        <f>20000*C92-G92-K92</f>
        <v>2487.1</v>
      </c>
      <c r="M92" s="23"/>
      <c r="N92" s="23"/>
      <c r="O92" s="23"/>
      <c r="P92" s="23"/>
      <c r="Q92" s="23"/>
      <c r="R92" s="23">
        <f>G92+K92+L92</f>
        <v>5000</v>
      </c>
      <c r="S92" s="25">
        <f t="shared" si="36"/>
        <v>60000</v>
      </c>
      <c r="T92" s="52"/>
    </row>
    <row r="93" spans="1:20" s="13" customFormat="1" x14ac:dyDescent="0.25">
      <c r="A93" s="20" t="s">
        <v>159</v>
      </c>
      <c r="B93" s="21" t="s">
        <v>160</v>
      </c>
      <c r="C93" s="22">
        <v>0.5</v>
      </c>
      <c r="D93" s="22">
        <v>14</v>
      </c>
      <c r="E93" s="23">
        <v>3866</v>
      </c>
      <c r="F93" s="22"/>
      <c r="G93" s="23">
        <f t="shared" si="32"/>
        <v>3866</v>
      </c>
      <c r="H93" s="23"/>
      <c r="I93" s="23"/>
      <c r="J93" s="23"/>
      <c r="K93" s="23">
        <f t="shared" si="35"/>
        <v>1159.8</v>
      </c>
      <c r="L93" s="23">
        <f>20000/2-G93-K93</f>
        <v>4974.2</v>
      </c>
      <c r="M93" s="23"/>
      <c r="N93" s="23"/>
      <c r="O93" s="23"/>
      <c r="P93" s="23"/>
      <c r="Q93" s="23"/>
      <c r="R93" s="23">
        <f t="shared" si="39"/>
        <v>10000</v>
      </c>
      <c r="S93" s="25">
        <f t="shared" si="36"/>
        <v>120000</v>
      </c>
      <c r="T93" s="52"/>
    </row>
    <row r="94" spans="1:20" s="13" customFormat="1" x14ac:dyDescent="0.25">
      <c r="A94" s="20" t="s">
        <v>161</v>
      </c>
      <c r="B94" s="21" t="s">
        <v>162</v>
      </c>
      <c r="C94" s="22">
        <v>0.5</v>
      </c>
      <c r="D94" s="22">
        <v>11</v>
      </c>
      <c r="E94" s="23">
        <v>3147</v>
      </c>
      <c r="F94" s="22"/>
      <c r="G94" s="23">
        <f t="shared" si="32"/>
        <v>3147</v>
      </c>
      <c r="H94" s="23"/>
      <c r="I94" s="23"/>
      <c r="J94" s="23"/>
      <c r="K94" s="23">
        <f t="shared" si="35"/>
        <v>944.09999999999991</v>
      </c>
      <c r="L94" s="23">
        <f>20000/2-G94-K94</f>
        <v>5908.9</v>
      </c>
      <c r="M94" s="23"/>
      <c r="N94" s="23"/>
      <c r="O94" s="23"/>
      <c r="P94" s="23"/>
      <c r="Q94" s="23"/>
      <c r="R94" s="23">
        <f t="shared" si="39"/>
        <v>10000</v>
      </c>
      <c r="S94" s="25">
        <f t="shared" si="36"/>
        <v>120000</v>
      </c>
      <c r="T94" s="52"/>
    </row>
    <row r="95" spans="1:20" s="56" customFormat="1" x14ac:dyDescent="0.25">
      <c r="A95" s="20" t="s">
        <v>163</v>
      </c>
      <c r="B95" s="21" t="s">
        <v>164</v>
      </c>
      <c r="C95" s="22">
        <v>0.5</v>
      </c>
      <c r="D95" s="22">
        <v>14</v>
      </c>
      <c r="E95" s="23">
        <v>3866</v>
      </c>
      <c r="F95" s="22"/>
      <c r="G95" s="23">
        <f t="shared" si="32"/>
        <v>3866</v>
      </c>
      <c r="H95" s="23"/>
      <c r="I95" s="23"/>
      <c r="J95" s="23"/>
      <c r="K95" s="23">
        <f t="shared" si="35"/>
        <v>1159.8</v>
      </c>
      <c r="L95" s="23">
        <f>20000/2-G95-K95</f>
        <v>4974.2</v>
      </c>
      <c r="M95" s="23"/>
      <c r="N95" s="23"/>
      <c r="O95" s="23"/>
      <c r="P95" s="23"/>
      <c r="Q95" s="23"/>
      <c r="R95" s="23">
        <f t="shared" si="39"/>
        <v>10000</v>
      </c>
      <c r="S95" s="25">
        <f t="shared" si="36"/>
        <v>120000</v>
      </c>
    </row>
    <row r="96" spans="1:20" s="13" customFormat="1" x14ac:dyDescent="0.25">
      <c r="A96" s="20" t="s">
        <v>165</v>
      </c>
      <c r="B96" s="21" t="s">
        <v>166</v>
      </c>
      <c r="C96" s="22">
        <v>1</v>
      </c>
      <c r="D96" s="22">
        <v>14</v>
      </c>
      <c r="E96" s="23">
        <v>7732</v>
      </c>
      <c r="F96" s="22"/>
      <c r="G96" s="23">
        <f t="shared" si="32"/>
        <v>7732</v>
      </c>
      <c r="H96" s="23"/>
      <c r="I96" s="23"/>
      <c r="J96" s="23"/>
      <c r="K96" s="23">
        <f t="shared" si="35"/>
        <v>2319.6</v>
      </c>
      <c r="L96" s="23">
        <f t="shared" ref="L96" si="40">20000-G96-K96</f>
        <v>9948.4</v>
      </c>
      <c r="M96" s="23"/>
      <c r="N96" s="23"/>
      <c r="O96" s="23"/>
      <c r="P96" s="23"/>
      <c r="Q96" s="23"/>
      <c r="R96" s="23">
        <f t="shared" si="39"/>
        <v>20000</v>
      </c>
      <c r="S96" s="25">
        <f t="shared" si="36"/>
        <v>240000</v>
      </c>
      <c r="T96" s="52"/>
    </row>
    <row r="97" spans="1:20" x14ac:dyDescent="0.25">
      <c r="A97" s="20" t="s">
        <v>167</v>
      </c>
      <c r="B97" s="21" t="s">
        <v>112</v>
      </c>
      <c r="C97" s="22">
        <v>0.5</v>
      </c>
      <c r="D97" s="22">
        <v>10</v>
      </c>
      <c r="E97" s="23">
        <v>2907.5</v>
      </c>
      <c r="F97" s="22"/>
      <c r="G97" s="23">
        <f t="shared" si="32"/>
        <v>2907.5</v>
      </c>
      <c r="H97" s="23"/>
      <c r="I97" s="23"/>
      <c r="J97" s="23"/>
      <c r="K97" s="23">
        <f t="shared" si="35"/>
        <v>872.25</v>
      </c>
      <c r="L97" s="23">
        <f>20000/2-G97-K97</f>
        <v>6220.25</v>
      </c>
      <c r="M97" s="23"/>
      <c r="N97" s="23"/>
      <c r="O97" s="23"/>
      <c r="P97" s="23"/>
      <c r="Q97" s="23"/>
      <c r="R97" s="23">
        <f t="shared" si="39"/>
        <v>10000</v>
      </c>
      <c r="S97" s="25">
        <f t="shared" si="36"/>
        <v>120000</v>
      </c>
      <c r="T97" s="53"/>
    </row>
    <row r="98" spans="1:20" s="13" customFormat="1" x14ac:dyDescent="0.25">
      <c r="A98" s="20" t="s">
        <v>168</v>
      </c>
      <c r="B98" s="21" t="s">
        <v>169</v>
      </c>
      <c r="C98" s="22">
        <v>1.5</v>
      </c>
      <c r="D98" s="22">
        <v>14</v>
      </c>
      <c r="E98" s="23">
        <f>7732*C98</f>
        <v>11598</v>
      </c>
      <c r="F98" s="22"/>
      <c r="G98" s="23">
        <f t="shared" si="32"/>
        <v>11598</v>
      </c>
      <c r="H98" s="23"/>
      <c r="I98" s="23"/>
      <c r="J98" s="23"/>
      <c r="K98" s="23">
        <f t="shared" si="35"/>
        <v>3479.4</v>
      </c>
      <c r="L98" s="23">
        <f>20000*C98-G98-K98</f>
        <v>14922.6</v>
      </c>
      <c r="M98" s="23"/>
      <c r="N98" s="23"/>
      <c r="O98" s="23"/>
      <c r="P98" s="23"/>
      <c r="Q98" s="23"/>
      <c r="R98" s="23">
        <f t="shared" si="39"/>
        <v>30000</v>
      </c>
      <c r="S98" s="25">
        <f t="shared" si="36"/>
        <v>360000</v>
      </c>
      <c r="T98" s="52"/>
    </row>
    <row r="99" spans="1:20" x14ac:dyDescent="0.25">
      <c r="A99" s="20" t="s">
        <v>170</v>
      </c>
      <c r="B99" s="21" t="s">
        <v>171</v>
      </c>
      <c r="C99" s="22">
        <v>0.5</v>
      </c>
      <c r="D99" s="22">
        <v>13</v>
      </c>
      <c r="E99" s="23">
        <f>7523*C99</f>
        <v>3761.5</v>
      </c>
      <c r="F99" s="22"/>
      <c r="G99" s="23">
        <f t="shared" si="32"/>
        <v>3761.5</v>
      </c>
      <c r="H99" s="23"/>
      <c r="I99" s="23"/>
      <c r="J99" s="23"/>
      <c r="K99" s="23">
        <f t="shared" si="35"/>
        <v>1128.45</v>
      </c>
      <c r="L99" s="23">
        <f>20000/2-G99-K99</f>
        <v>5110.05</v>
      </c>
      <c r="M99" s="23"/>
      <c r="N99" s="23"/>
      <c r="O99" s="23"/>
      <c r="P99" s="23"/>
      <c r="Q99" s="23"/>
      <c r="R99" s="23">
        <f t="shared" si="39"/>
        <v>10000</v>
      </c>
      <c r="S99" s="25">
        <f t="shared" si="36"/>
        <v>120000</v>
      </c>
      <c r="T99" s="53"/>
    </row>
    <row r="100" spans="1:20" x14ac:dyDescent="0.25">
      <c r="A100" s="20" t="s">
        <v>172</v>
      </c>
      <c r="B100" s="21" t="s">
        <v>173</v>
      </c>
      <c r="C100" s="22">
        <v>0.5</v>
      </c>
      <c r="D100" s="22">
        <v>14</v>
      </c>
      <c r="E100" s="23">
        <v>3866</v>
      </c>
      <c r="F100" s="22"/>
      <c r="G100" s="23">
        <f t="shared" si="32"/>
        <v>3866</v>
      </c>
      <c r="H100" s="23"/>
      <c r="I100" s="23"/>
      <c r="J100" s="23"/>
      <c r="K100" s="23">
        <f t="shared" si="35"/>
        <v>1159.8</v>
      </c>
      <c r="L100" s="23">
        <f>20000/2-G100-K100</f>
        <v>4974.2</v>
      </c>
      <c r="M100" s="23"/>
      <c r="N100" s="23"/>
      <c r="O100" s="23"/>
      <c r="P100" s="23"/>
      <c r="Q100" s="23"/>
      <c r="R100" s="23">
        <f t="shared" si="39"/>
        <v>10000</v>
      </c>
      <c r="S100" s="25">
        <f t="shared" si="36"/>
        <v>120000</v>
      </c>
      <c r="T100" s="53"/>
    </row>
    <row r="101" spans="1:20" x14ac:dyDescent="0.25">
      <c r="A101" s="20" t="s">
        <v>174</v>
      </c>
      <c r="B101" s="21" t="s">
        <v>128</v>
      </c>
      <c r="C101" s="22">
        <v>0.5</v>
      </c>
      <c r="D101" s="22">
        <v>9</v>
      </c>
      <c r="E101" s="23">
        <f>5527*C101</f>
        <v>2763.5</v>
      </c>
      <c r="F101" s="22"/>
      <c r="G101" s="23">
        <f t="shared" si="32"/>
        <v>2763.5</v>
      </c>
      <c r="H101" s="23"/>
      <c r="I101" s="23"/>
      <c r="J101" s="23"/>
      <c r="K101" s="23">
        <f t="shared" si="35"/>
        <v>829.05</v>
      </c>
      <c r="L101" s="23">
        <f>13500*C101-G101-K101</f>
        <v>3157.45</v>
      </c>
      <c r="M101" s="23"/>
      <c r="N101" s="23"/>
      <c r="O101" s="23"/>
      <c r="P101" s="23"/>
      <c r="Q101" s="23"/>
      <c r="R101" s="23">
        <f>G101+K101+L101</f>
        <v>6750</v>
      </c>
      <c r="S101" s="25">
        <f t="shared" si="36"/>
        <v>81000</v>
      </c>
      <c r="T101" s="53"/>
    </row>
    <row r="102" spans="1:20" x14ac:dyDescent="0.25">
      <c r="A102" s="20" t="s">
        <v>175</v>
      </c>
      <c r="B102" s="21" t="s">
        <v>176</v>
      </c>
      <c r="C102" s="22">
        <v>1</v>
      </c>
      <c r="D102" s="22">
        <v>9</v>
      </c>
      <c r="E102" s="23">
        <v>5527</v>
      </c>
      <c r="F102" s="22">
        <f>E102*0.15</f>
        <v>829.05</v>
      </c>
      <c r="G102" s="23">
        <f t="shared" si="32"/>
        <v>6356.05</v>
      </c>
      <c r="H102" s="23"/>
      <c r="I102" s="23"/>
      <c r="J102" s="23"/>
      <c r="K102" s="23">
        <f t="shared" si="35"/>
        <v>1906.8150000000001</v>
      </c>
      <c r="L102" s="23">
        <f>13500-G102-K102</f>
        <v>5237.1350000000002</v>
      </c>
      <c r="M102" s="23"/>
      <c r="N102" s="23"/>
      <c r="O102" s="23"/>
      <c r="P102" s="23"/>
      <c r="Q102" s="23"/>
      <c r="R102" s="23">
        <f>G102+K102+L102</f>
        <v>13500</v>
      </c>
      <c r="S102" s="25">
        <f t="shared" si="36"/>
        <v>162000</v>
      </c>
      <c r="T102" s="53"/>
    </row>
    <row r="103" spans="1:20" x14ac:dyDescent="0.25">
      <c r="A103" s="20" t="s">
        <v>177</v>
      </c>
      <c r="B103" s="21" t="s">
        <v>178</v>
      </c>
      <c r="C103" s="22">
        <v>1.5</v>
      </c>
      <c r="D103" s="22">
        <v>7</v>
      </c>
      <c r="E103" s="23">
        <v>7380</v>
      </c>
      <c r="F103" s="22"/>
      <c r="G103" s="23">
        <f t="shared" si="32"/>
        <v>7380</v>
      </c>
      <c r="H103" s="23"/>
      <c r="I103" s="23">
        <f>G103*0.1</f>
        <v>738</v>
      </c>
      <c r="J103" s="23"/>
      <c r="K103" s="23">
        <f t="shared" si="35"/>
        <v>2214</v>
      </c>
      <c r="L103" s="23">
        <f>13500*1.5-G103-I103-K103</f>
        <v>9918</v>
      </c>
      <c r="M103" s="23"/>
      <c r="N103" s="23"/>
      <c r="O103" s="23"/>
      <c r="P103" s="23"/>
      <c r="Q103" s="23"/>
      <c r="R103" s="23">
        <f>G103+I103+K103+L103</f>
        <v>20250</v>
      </c>
      <c r="S103" s="25">
        <f t="shared" si="36"/>
        <v>243000</v>
      </c>
      <c r="T103" s="53"/>
    </row>
    <row r="104" spans="1:20" x14ac:dyDescent="0.25">
      <c r="A104" s="20" t="s">
        <v>179</v>
      </c>
      <c r="B104" s="21" t="s">
        <v>91</v>
      </c>
      <c r="C104" s="22">
        <v>6</v>
      </c>
      <c r="D104" s="22">
        <v>9</v>
      </c>
      <c r="E104" s="23">
        <f>5527*C104</f>
        <v>33162</v>
      </c>
      <c r="F104" s="22"/>
      <c r="G104" s="23">
        <f t="shared" si="32"/>
        <v>33162</v>
      </c>
      <c r="H104" s="23"/>
      <c r="I104" s="23"/>
      <c r="J104" s="23"/>
      <c r="K104" s="23">
        <f t="shared" si="35"/>
        <v>9948.6</v>
      </c>
      <c r="L104" s="23">
        <f>13500*C104-G104-K104</f>
        <v>37889.4</v>
      </c>
      <c r="M104" s="23"/>
      <c r="N104" s="23"/>
      <c r="O104" s="23"/>
      <c r="P104" s="23"/>
      <c r="Q104" s="23"/>
      <c r="R104" s="23">
        <f t="shared" ref="R104" si="41">G104+K104+L104</f>
        <v>81000</v>
      </c>
      <c r="S104" s="25">
        <f t="shared" si="36"/>
        <v>972000</v>
      </c>
      <c r="T104" s="53"/>
    </row>
    <row r="105" spans="1:20" x14ac:dyDescent="0.25">
      <c r="A105" s="20" t="s">
        <v>181</v>
      </c>
      <c r="B105" s="21" t="s">
        <v>180</v>
      </c>
      <c r="C105" s="22">
        <v>1</v>
      </c>
      <c r="D105" s="22">
        <v>9</v>
      </c>
      <c r="E105" s="23">
        <f>5527*C105</f>
        <v>5527</v>
      </c>
      <c r="F105" s="22"/>
      <c r="G105" s="23">
        <f t="shared" si="32"/>
        <v>5527</v>
      </c>
      <c r="H105" s="23"/>
      <c r="I105" s="23">
        <f>G105*0.1</f>
        <v>552.70000000000005</v>
      </c>
      <c r="J105" s="23"/>
      <c r="K105" s="23">
        <f t="shared" si="35"/>
        <v>1658.1</v>
      </c>
      <c r="L105" s="23">
        <f>13500-G105-K105-I105</f>
        <v>5762.2</v>
      </c>
      <c r="M105" s="23"/>
      <c r="N105" s="23"/>
      <c r="O105" s="23"/>
      <c r="P105" s="23"/>
      <c r="Q105" s="23"/>
      <c r="R105" s="23">
        <f>G105+K105+L105+I105</f>
        <v>13500</v>
      </c>
      <c r="S105" s="25">
        <f t="shared" si="36"/>
        <v>162000</v>
      </c>
      <c r="T105" s="53"/>
    </row>
    <row r="106" spans="1:20" x14ac:dyDescent="0.25">
      <c r="A106" s="20" t="s">
        <v>183</v>
      </c>
      <c r="B106" s="21" t="s">
        <v>182</v>
      </c>
      <c r="C106" s="22">
        <v>2</v>
      </c>
      <c r="D106" s="22">
        <v>9</v>
      </c>
      <c r="E106" s="23">
        <f>5527*C106</f>
        <v>11054</v>
      </c>
      <c r="F106" s="22">
        <f>E106*0.15</f>
        <v>1658.1</v>
      </c>
      <c r="G106" s="23">
        <f t="shared" si="32"/>
        <v>12712.1</v>
      </c>
      <c r="H106" s="23"/>
      <c r="I106" s="23"/>
      <c r="J106" s="23"/>
      <c r="K106" s="23">
        <f t="shared" si="35"/>
        <v>3813.63</v>
      </c>
      <c r="L106" s="23">
        <f>13500*C106-G106-K106</f>
        <v>10474.27</v>
      </c>
      <c r="M106" s="23"/>
      <c r="N106" s="23"/>
      <c r="O106" s="23"/>
      <c r="P106" s="23"/>
      <c r="Q106" s="23"/>
      <c r="R106" s="23">
        <f t="shared" ref="R106" si="42">G106+K106+L106</f>
        <v>27000</v>
      </c>
      <c r="S106" s="25">
        <f t="shared" si="36"/>
        <v>324000</v>
      </c>
      <c r="T106" s="53"/>
    </row>
    <row r="107" spans="1:20" s="38" customFormat="1" x14ac:dyDescent="0.25">
      <c r="A107" s="20" t="s">
        <v>185</v>
      </c>
      <c r="B107" s="21" t="s">
        <v>184</v>
      </c>
      <c r="C107" s="22">
        <v>0.5</v>
      </c>
      <c r="D107" s="22">
        <v>4</v>
      </c>
      <c r="E107" s="23">
        <v>2029</v>
      </c>
      <c r="F107" s="22"/>
      <c r="G107" s="23">
        <f>E107+F107</f>
        <v>2029</v>
      </c>
      <c r="H107" s="23"/>
      <c r="I107" s="23"/>
      <c r="J107" s="23"/>
      <c r="K107" s="23"/>
      <c r="L107" s="23"/>
      <c r="M107" s="23"/>
      <c r="N107" s="23"/>
      <c r="O107" s="23"/>
      <c r="P107" s="23">
        <f>8000/2-G107</f>
        <v>1971</v>
      </c>
      <c r="Q107" s="23"/>
      <c r="R107" s="23">
        <f>G107+I107+P107</f>
        <v>4000</v>
      </c>
      <c r="S107" s="25">
        <f t="shared" si="36"/>
        <v>48000</v>
      </c>
      <c r="T107" s="46"/>
    </row>
    <row r="108" spans="1:20" x14ac:dyDescent="0.25">
      <c r="A108" s="20" t="s">
        <v>188</v>
      </c>
      <c r="B108" s="21" t="s">
        <v>134</v>
      </c>
      <c r="C108" s="22">
        <v>4</v>
      </c>
      <c r="D108" s="22">
        <v>3</v>
      </c>
      <c r="E108" s="23">
        <f>3770*C108</f>
        <v>15080</v>
      </c>
      <c r="F108" s="22"/>
      <c r="G108" s="23">
        <f t="shared" si="32"/>
        <v>15080</v>
      </c>
      <c r="H108" s="23"/>
      <c r="I108" s="23">
        <f>G108*0.1</f>
        <v>1508</v>
      </c>
      <c r="J108" s="23"/>
      <c r="K108" s="23"/>
      <c r="L108" s="23"/>
      <c r="M108" s="23"/>
      <c r="N108" s="23"/>
      <c r="O108" s="23"/>
      <c r="P108" s="23">
        <f>8000*C108-G108</f>
        <v>16920</v>
      </c>
      <c r="Q108" s="23"/>
      <c r="R108" s="23">
        <f>G108+I108+P108</f>
        <v>33508</v>
      </c>
      <c r="S108" s="25">
        <f t="shared" si="36"/>
        <v>402096</v>
      </c>
      <c r="T108" s="53"/>
    </row>
    <row r="109" spans="1:20" s="27" customFormat="1" ht="18" customHeight="1" thickBot="1" x14ac:dyDescent="0.3">
      <c r="A109" s="112"/>
      <c r="B109" s="113" t="s">
        <v>59</v>
      </c>
      <c r="C109" s="114">
        <f>SUM(C82:C108)</f>
        <v>32.75</v>
      </c>
      <c r="D109" s="114"/>
      <c r="E109" s="115">
        <f>SUM(E82:E108)</f>
        <v>200393.5</v>
      </c>
      <c r="F109" s="115">
        <f>SUM(F82:F108)</f>
        <v>9147.8000000000011</v>
      </c>
      <c r="G109" s="115">
        <f>SUM(G82:G108)</f>
        <v>209541.30000000002</v>
      </c>
      <c r="H109" s="115"/>
      <c r="I109" s="115">
        <f>SUM(I82:I108)</f>
        <v>2798.7</v>
      </c>
      <c r="J109" s="115"/>
      <c r="K109" s="115">
        <f>SUM(K82:K108)</f>
        <v>57729.689999999995</v>
      </c>
      <c r="L109" s="115">
        <f>SUM(L82:L108)</f>
        <v>235547.31000000003</v>
      </c>
      <c r="M109" s="115"/>
      <c r="N109" s="115"/>
      <c r="O109" s="115"/>
      <c r="P109" s="115">
        <f>SUM(P107:P108)</f>
        <v>18891</v>
      </c>
      <c r="Q109" s="115"/>
      <c r="R109" s="115">
        <f>SUM(R82:R108)</f>
        <v>524508</v>
      </c>
      <c r="S109" s="116">
        <f>SUM(S82:S108)</f>
        <v>6294096</v>
      </c>
      <c r="T109" s="54"/>
    </row>
    <row r="110" spans="1:20" ht="22.2" customHeight="1" x14ac:dyDescent="0.25">
      <c r="A110" s="15"/>
      <c r="B110" s="86" t="s">
        <v>187</v>
      </c>
      <c r="C110" s="85"/>
      <c r="D110" s="85"/>
      <c r="E110" s="94"/>
      <c r="F110" s="85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110"/>
      <c r="T110" s="53"/>
    </row>
    <row r="111" spans="1:20" x14ac:dyDescent="0.25">
      <c r="A111" s="20" t="s">
        <v>190</v>
      </c>
      <c r="B111" s="21" t="s">
        <v>189</v>
      </c>
      <c r="C111" s="22">
        <v>1</v>
      </c>
      <c r="D111" s="22">
        <v>10</v>
      </c>
      <c r="E111" s="23">
        <v>5815</v>
      </c>
      <c r="F111" s="22">
        <f>E111*0.15</f>
        <v>872.25</v>
      </c>
      <c r="G111" s="23">
        <f t="shared" ref="G111:G115" si="43">E111+F111</f>
        <v>6687.25</v>
      </c>
      <c r="H111" s="23"/>
      <c r="I111" s="23">
        <f>G111*0.1</f>
        <v>668.72500000000002</v>
      </c>
      <c r="J111" s="23"/>
      <c r="K111" s="23">
        <f>G111*0.3</f>
        <v>2006.175</v>
      </c>
      <c r="L111" s="23">
        <f>20000-G111-I111-K111</f>
        <v>10637.85</v>
      </c>
      <c r="M111" s="23"/>
      <c r="N111" s="23"/>
      <c r="O111" s="23"/>
      <c r="P111" s="23"/>
      <c r="Q111" s="23"/>
      <c r="R111" s="23">
        <f>G111+I111+K111+L111</f>
        <v>20000</v>
      </c>
      <c r="S111" s="25">
        <f>R111*12</f>
        <v>240000</v>
      </c>
      <c r="T111" s="53"/>
    </row>
    <row r="112" spans="1:20" x14ac:dyDescent="0.25">
      <c r="A112" s="20" t="s">
        <v>192</v>
      </c>
      <c r="B112" s="21" t="s">
        <v>191</v>
      </c>
      <c r="C112" s="22">
        <v>1</v>
      </c>
      <c r="D112" s="22">
        <v>9</v>
      </c>
      <c r="E112" s="23">
        <v>5527</v>
      </c>
      <c r="F112" s="22">
        <f>E112*0.15</f>
        <v>829.05</v>
      </c>
      <c r="G112" s="23">
        <f t="shared" si="43"/>
        <v>6356.05</v>
      </c>
      <c r="H112" s="23"/>
      <c r="I112" s="23"/>
      <c r="J112" s="23"/>
      <c r="K112" s="23">
        <f t="shared" ref="K112:K113" si="44">G112*0.3</f>
        <v>1906.8150000000001</v>
      </c>
      <c r="L112" s="23">
        <f>20000-G112-K112</f>
        <v>11737.135</v>
      </c>
      <c r="M112" s="23"/>
      <c r="N112" s="23"/>
      <c r="O112" s="23"/>
      <c r="P112" s="23"/>
      <c r="Q112" s="23"/>
      <c r="R112" s="23">
        <f>G112+I112+K112+L112</f>
        <v>20000</v>
      </c>
      <c r="S112" s="25">
        <f t="shared" ref="S112:S114" si="45">R112*12</f>
        <v>240000</v>
      </c>
      <c r="T112" s="53"/>
    </row>
    <row r="113" spans="1:20" x14ac:dyDescent="0.25">
      <c r="A113" s="20" t="s">
        <v>194</v>
      </c>
      <c r="B113" s="21" t="s">
        <v>193</v>
      </c>
      <c r="C113" s="22">
        <v>2.5</v>
      </c>
      <c r="D113" s="22">
        <v>10</v>
      </c>
      <c r="E113" s="23">
        <f>5815*C113</f>
        <v>14537.5</v>
      </c>
      <c r="F113" s="22">
        <f>E113*0.15</f>
        <v>2180.625</v>
      </c>
      <c r="G113" s="23">
        <f t="shared" si="43"/>
        <v>16718.125</v>
      </c>
      <c r="H113" s="23"/>
      <c r="I113" s="23">
        <f>G113*0.1</f>
        <v>1671.8125</v>
      </c>
      <c r="J113" s="23"/>
      <c r="K113" s="23">
        <f t="shared" si="44"/>
        <v>5015.4375</v>
      </c>
      <c r="L113" s="23">
        <f>13500*C113-G113-I113-K113</f>
        <v>10344.625</v>
      </c>
      <c r="M113" s="23"/>
      <c r="N113" s="23"/>
      <c r="O113" s="23"/>
      <c r="P113" s="23"/>
      <c r="Q113" s="23"/>
      <c r="R113" s="23">
        <f>G113+I113+K113+L113</f>
        <v>33750</v>
      </c>
      <c r="S113" s="25">
        <f t="shared" si="45"/>
        <v>405000</v>
      </c>
      <c r="T113" s="53"/>
    </row>
    <row r="114" spans="1:20" s="38" customFormat="1" x14ac:dyDescent="0.25">
      <c r="A114" s="20" t="s">
        <v>197</v>
      </c>
      <c r="B114" s="21" t="s">
        <v>186</v>
      </c>
      <c r="C114" s="22">
        <v>1</v>
      </c>
      <c r="D114" s="22">
        <v>3</v>
      </c>
      <c r="E114" s="23">
        <f>3770*C114</f>
        <v>3770</v>
      </c>
      <c r="F114" s="22">
        <f>E114*0.15</f>
        <v>565.5</v>
      </c>
      <c r="G114" s="23">
        <f t="shared" si="43"/>
        <v>4335.5</v>
      </c>
      <c r="H114" s="23"/>
      <c r="I114" s="23">
        <f>G114*0.1</f>
        <v>433.55</v>
      </c>
      <c r="J114" s="23"/>
      <c r="K114" s="23" t="s">
        <v>195</v>
      </c>
      <c r="L114" s="23"/>
      <c r="M114" s="23"/>
      <c r="N114" s="23"/>
      <c r="O114" s="23"/>
      <c r="P114" s="23">
        <f>8000*C114-E114</f>
        <v>4230</v>
      </c>
      <c r="Q114" s="23"/>
      <c r="R114" s="23">
        <f>G114+I114+P114</f>
        <v>8999.0499999999993</v>
      </c>
      <c r="S114" s="25">
        <f t="shared" si="45"/>
        <v>107988.59999999999</v>
      </c>
      <c r="T114" s="46"/>
    </row>
    <row r="115" spans="1:20" s="27" customFormat="1" ht="21.6" customHeight="1" thickBot="1" x14ac:dyDescent="0.3">
      <c r="A115" s="64"/>
      <c r="B115" s="47" t="s">
        <v>59</v>
      </c>
      <c r="C115" s="34">
        <f>C111+C112+C113+C114</f>
        <v>5.5</v>
      </c>
      <c r="D115" s="34"/>
      <c r="E115" s="35">
        <f>SUM(E111:E114)</f>
        <v>29649.5</v>
      </c>
      <c r="F115" s="34">
        <f>SUM(F111:F114)</f>
        <v>4447.4250000000002</v>
      </c>
      <c r="G115" s="35">
        <f t="shared" si="43"/>
        <v>34096.925000000003</v>
      </c>
      <c r="H115" s="35"/>
      <c r="I115" s="35">
        <f>SUM(I111:I114)</f>
        <v>2774.0875000000001</v>
      </c>
      <c r="J115" s="35"/>
      <c r="K115" s="35">
        <f>SUM(K111:K114)</f>
        <v>8928.4274999999998</v>
      </c>
      <c r="L115" s="35">
        <f>SUM(L111:L114)</f>
        <v>32719.61</v>
      </c>
      <c r="M115" s="35"/>
      <c r="N115" s="35"/>
      <c r="O115" s="35"/>
      <c r="P115" s="35">
        <f>SUM(P111:P114)</f>
        <v>4230</v>
      </c>
      <c r="Q115" s="35"/>
      <c r="R115" s="35">
        <f>SUM(R111:R114)</f>
        <v>82749.05</v>
      </c>
      <c r="S115" s="36">
        <f>SUM(S111:S114)</f>
        <v>992988.6</v>
      </c>
      <c r="T115" s="54"/>
    </row>
    <row r="116" spans="1:20" ht="23.4" customHeight="1" x14ac:dyDescent="0.25">
      <c r="A116" s="18"/>
      <c r="B116" s="86" t="s">
        <v>196</v>
      </c>
      <c r="C116" s="86"/>
      <c r="D116" s="86"/>
      <c r="E116" s="92"/>
      <c r="F116" s="86"/>
      <c r="G116" s="94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3"/>
      <c r="T116" s="53"/>
    </row>
    <row r="117" spans="1:20" ht="14.4" customHeight="1" x14ac:dyDescent="0.25">
      <c r="A117" s="20" t="s">
        <v>198</v>
      </c>
      <c r="B117" s="21" t="s">
        <v>110</v>
      </c>
      <c r="C117" s="22">
        <v>0.25</v>
      </c>
      <c r="D117" s="22">
        <v>10</v>
      </c>
      <c r="E117" s="23">
        <f>5815*C117</f>
        <v>1453.75</v>
      </c>
      <c r="F117" s="22">
        <f t="shared" ref="F117:F120" si="46">E117*0.15</f>
        <v>218.0625</v>
      </c>
      <c r="G117" s="23">
        <f t="shared" si="22"/>
        <v>1671.8125</v>
      </c>
      <c r="H117" s="23"/>
      <c r="I117" s="23"/>
      <c r="J117" s="23"/>
      <c r="K117" s="23">
        <f>G117*0.3</f>
        <v>501.54374999999999</v>
      </c>
      <c r="L117" s="23">
        <f>20000*C117-G117-K117</f>
        <v>2826.6437500000002</v>
      </c>
      <c r="M117" s="23"/>
      <c r="N117" s="23"/>
      <c r="O117" s="23"/>
      <c r="P117" s="23"/>
      <c r="Q117" s="23"/>
      <c r="R117" s="23">
        <f t="shared" ref="R117:R118" si="47">G117+K117+L117</f>
        <v>5000</v>
      </c>
      <c r="S117" s="25">
        <f>R117*12</f>
        <v>60000</v>
      </c>
      <c r="T117" s="53"/>
    </row>
    <row r="118" spans="1:20" x14ac:dyDescent="0.25">
      <c r="A118" s="20" t="s">
        <v>199</v>
      </c>
      <c r="B118" s="21" t="s">
        <v>104</v>
      </c>
      <c r="C118" s="22">
        <v>0.25</v>
      </c>
      <c r="D118" s="22">
        <v>10</v>
      </c>
      <c r="E118" s="23">
        <f>5815*C118</f>
        <v>1453.75</v>
      </c>
      <c r="F118" s="22">
        <f t="shared" si="46"/>
        <v>218.0625</v>
      </c>
      <c r="G118" s="23">
        <f t="shared" si="22"/>
        <v>1671.8125</v>
      </c>
      <c r="H118" s="23"/>
      <c r="I118" s="23"/>
      <c r="J118" s="23"/>
      <c r="K118" s="23">
        <f t="shared" ref="K118:K119" si="48">G118*0.3</f>
        <v>501.54374999999999</v>
      </c>
      <c r="L118" s="23">
        <f>20000*C118-G118-K118</f>
        <v>2826.6437500000002</v>
      </c>
      <c r="M118" s="23"/>
      <c r="N118" s="23"/>
      <c r="O118" s="23"/>
      <c r="P118" s="23"/>
      <c r="Q118" s="23"/>
      <c r="R118" s="23">
        <f t="shared" si="47"/>
        <v>5000</v>
      </c>
      <c r="S118" s="25">
        <f t="shared" ref="S118:S120" si="49">R118*12</f>
        <v>60000</v>
      </c>
      <c r="T118" s="53"/>
    </row>
    <row r="119" spans="1:20" x14ac:dyDescent="0.25">
      <c r="A119" s="20" t="s">
        <v>200</v>
      </c>
      <c r="B119" s="21" t="s">
        <v>130</v>
      </c>
      <c r="C119" s="22">
        <v>4.5</v>
      </c>
      <c r="D119" s="22">
        <v>9</v>
      </c>
      <c r="E119" s="23">
        <f>5527*C119</f>
        <v>24871.5</v>
      </c>
      <c r="F119" s="22">
        <f t="shared" si="46"/>
        <v>3730.7249999999999</v>
      </c>
      <c r="G119" s="23">
        <f t="shared" si="22"/>
        <v>28602.224999999999</v>
      </c>
      <c r="H119" s="23"/>
      <c r="I119" s="23">
        <f t="shared" ref="I119:I120" si="50">G119*0.1</f>
        <v>2860.2224999999999</v>
      </c>
      <c r="J119" s="23"/>
      <c r="K119" s="23">
        <f t="shared" si="48"/>
        <v>8580.6674999999996</v>
      </c>
      <c r="L119" s="23">
        <f>13500*C119-G119-K119-I119-N119</f>
        <v>17793.585000000003</v>
      </c>
      <c r="M119" s="23"/>
      <c r="N119" s="23">
        <f>647.4*C119</f>
        <v>2913.2999999999997</v>
      </c>
      <c r="O119" s="23"/>
      <c r="P119" s="23"/>
      <c r="Q119" s="23"/>
      <c r="R119" s="23">
        <f>G119+K119+L119+I119+N119</f>
        <v>60750.000000000015</v>
      </c>
      <c r="S119" s="25">
        <f t="shared" si="49"/>
        <v>729000.00000000023</v>
      </c>
      <c r="T119" s="53"/>
    </row>
    <row r="120" spans="1:20" s="13" customFormat="1" x14ac:dyDescent="0.2">
      <c r="A120" s="28" t="s">
        <v>202</v>
      </c>
      <c r="B120" s="21" t="s">
        <v>134</v>
      </c>
      <c r="C120" s="22">
        <v>3.5</v>
      </c>
      <c r="D120" s="22">
        <v>4</v>
      </c>
      <c r="E120" s="23">
        <f>4058*C120</f>
        <v>14203</v>
      </c>
      <c r="F120" s="22">
        <f t="shared" si="46"/>
        <v>2130.4499999999998</v>
      </c>
      <c r="G120" s="23">
        <f t="shared" si="22"/>
        <v>16333.45</v>
      </c>
      <c r="H120" s="23"/>
      <c r="I120" s="23">
        <f t="shared" si="50"/>
        <v>1633.3450000000003</v>
      </c>
      <c r="J120" s="23"/>
      <c r="K120" s="23"/>
      <c r="L120" s="23"/>
      <c r="M120" s="23"/>
      <c r="N120" s="23">
        <f>475.33*C120</f>
        <v>1663.655</v>
      </c>
      <c r="O120" s="23"/>
      <c r="P120" s="23">
        <f>8000*C120-E120</f>
        <v>13797</v>
      </c>
      <c r="Q120" s="23"/>
      <c r="R120" s="23">
        <f>G120+I120+P120+N120</f>
        <v>33427.450000000004</v>
      </c>
      <c r="S120" s="25">
        <f t="shared" si="49"/>
        <v>401129.4</v>
      </c>
      <c r="T120" s="52"/>
    </row>
    <row r="121" spans="1:20" s="27" customFormat="1" ht="21.6" customHeight="1" thickBot="1" x14ac:dyDescent="0.3">
      <c r="A121" s="64"/>
      <c r="B121" s="117" t="s">
        <v>59</v>
      </c>
      <c r="C121" s="34">
        <f>SUM(C117:C120)</f>
        <v>8.5</v>
      </c>
      <c r="D121" s="34"/>
      <c r="E121" s="35">
        <f>SUM(E117:E120)</f>
        <v>41982</v>
      </c>
      <c r="F121" s="34">
        <f>SUM(F117:F120)</f>
        <v>6297.3</v>
      </c>
      <c r="G121" s="35">
        <f>SUM(G117:G120)</f>
        <v>48279.3</v>
      </c>
      <c r="H121" s="35"/>
      <c r="I121" s="35">
        <f>SUM(I117:I120)</f>
        <v>4493.5675000000001</v>
      </c>
      <c r="J121" s="35"/>
      <c r="K121" s="35">
        <f>SUM(K117:K120)</f>
        <v>9583.7549999999992</v>
      </c>
      <c r="L121" s="35">
        <f>SUM(L117:L120)</f>
        <v>23446.872500000005</v>
      </c>
      <c r="M121" s="35"/>
      <c r="N121" s="35">
        <f>SUM(N117:N120)</f>
        <v>4576.9549999999999</v>
      </c>
      <c r="O121" s="35"/>
      <c r="P121" s="35">
        <f>SUM(P117:P120)</f>
        <v>13797</v>
      </c>
      <c r="Q121" s="35"/>
      <c r="R121" s="35">
        <f>SUM(R117:R120)</f>
        <v>104177.45000000001</v>
      </c>
      <c r="S121" s="36">
        <f>SUM(S117:S120)</f>
        <v>1250129.4000000004</v>
      </c>
      <c r="T121" s="54"/>
    </row>
    <row r="122" spans="1:20" s="56" customFormat="1" ht="19.2" customHeight="1" x14ac:dyDescent="0.25">
      <c r="A122" s="15"/>
      <c r="B122" s="86" t="s">
        <v>201</v>
      </c>
      <c r="C122" s="85"/>
      <c r="D122" s="85"/>
      <c r="E122" s="94"/>
      <c r="F122" s="85"/>
      <c r="G122" s="94"/>
      <c r="H122" s="94"/>
      <c r="I122" s="94"/>
      <c r="J122" s="94"/>
      <c r="K122" s="94"/>
      <c r="L122" s="94"/>
      <c r="M122" s="94"/>
      <c r="N122" s="94"/>
      <c r="O122" s="94"/>
      <c r="P122" s="94"/>
      <c r="Q122" s="94"/>
      <c r="R122" s="94"/>
      <c r="S122" s="110"/>
      <c r="T122" s="58"/>
    </row>
    <row r="123" spans="1:20" s="13" customFormat="1" x14ac:dyDescent="0.25">
      <c r="A123" s="20" t="s">
        <v>203</v>
      </c>
      <c r="B123" s="59" t="s">
        <v>100</v>
      </c>
      <c r="C123" s="22">
        <v>1</v>
      </c>
      <c r="D123" s="22">
        <v>13</v>
      </c>
      <c r="E123" s="23">
        <v>7253</v>
      </c>
      <c r="F123" s="22">
        <f>E123*0.2</f>
        <v>1450.6000000000001</v>
      </c>
      <c r="G123" s="23">
        <f t="shared" ref="G123:G124" si="51">E123+F123</f>
        <v>8703.6</v>
      </c>
      <c r="H123" s="23"/>
      <c r="I123" s="23"/>
      <c r="J123" s="23"/>
      <c r="K123" s="23">
        <f t="shared" ref="K123:K124" si="52">G123*0.3</f>
        <v>2611.08</v>
      </c>
      <c r="L123" s="23">
        <f t="shared" ref="L123" si="53">20000-G123-K123</f>
        <v>8685.32</v>
      </c>
      <c r="M123" s="23"/>
      <c r="N123" s="23"/>
      <c r="O123" s="23"/>
      <c r="P123" s="23"/>
      <c r="Q123" s="23"/>
      <c r="R123" s="23">
        <f>G123+K123+L123+O123</f>
        <v>20000</v>
      </c>
      <c r="S123" s="25">
        <f>R123*12</f>
        <v>240000</v>
      </c>
      <c r="T123" s="52"/>
    </row>
    <row r="124" spans="1:20" s="38" customFormat="1" x14ac:dyDescent="0.25">
      <c r="A124" s="57" t="s">
        <v>205</v>
      </c>
      <c r="B124" s="21" t="s">
        <v>128</v>
      </c>
      <c r="C124" s="22">
        <v>1</v>
      </c>
      <c r="D124" s="22">
        <v>10</v>
      </c>
      <c r="E124" s="23">
        <v>5815</v>
      </c>
      <c r="F124" s="22">
        <f>E124*0.1</f>
        <v>581.5</v>
      </c>
      <c r="G124" s="23">
        <f t="shared" si="51"/>
        <v>6396.5</v>
      </c>
      <c r="H124" s="23"/>
      <c r="I124" s="23"/>
      <c r="J124" s="23"/>
      <c r="K124" s="23">
        <f t="shared" si="52"/>
        <v>1918.9499999999998</v>
      </c>
      <c r="L124" s="23">
        <f>13500-G124-K124</f>
        <v>5184.55</v>
      </c>
      <c r="M124" s="23"/>
      <c r="N124" s="23"/>
      <c r="O124" s="23"/>
      <c r="P124" s="23"/>
      <c r="Q124" s="23"/>
      <c r="R124" s="23">
        <f>G124+K124+L124</f>
        <v>13500</v>
      </c>
      <c r="S124" s="25">
        <f>R124*12</f>
        <v>162000</v>
      </c>
      <c r="T124" s="46"/>
    </row>
    <row r="125" spans="1:20" x14ac:dyDescent="0.25">
      <c r="A125" s="28"/>
      <c r="B125" s="50"/>
      <c r="C125" s="60"/>
      <c r="D125" s="60"/>
      <c r="E125" s="61"/>
      <c r="F125" s="60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2"/>
      <c r="T125" s="53"/>
    </row>
    <row r="126" spans="1:20" ht="21" customHeight="1" x14ac:dyDescent="0.25">
      <c r="A126" s="20"/>
      <c r="B126" s="63" t="s">
        <v>204</v>
      </c>
      <c r="C126" s="29"/>
      <c r="D126" s="29"/>
      <c r="E126" s="30"/>
      <c r="F126" s="29"/>
      <c r="G126" s="23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1"/>
      <c r="T126" s="53"/>
    </row>
    <row r="127" spans="1:20" ht="11.4" customHeight="1" x14ac:dyDescent="0.25">
      <c r="A127" s="20" t="s">
        <v>207</v>
      </c>
      <c r="B127" s="21" t="s">
        <v>206</v>
      </c>
      <c r="C127" s="22">
        <v>4.5</v>
      </c>
      <c r="D127" s="22">
        <v>14</v>
      </c>
      <c r="E127" s="23">
        <f>7732*C127</f>
        <v>34794</v>
      </c>
      <c r="F127" s="22"/>
      <c r="G127" s="23">
        <f t="shared" ref="G127:G133" si="54">E127+F127</f>
        <v>34794</v>
      </c>
      <c r="H127" s="23"/>
      <c r="I127" s="23"/>
      <c r="J127" s="23"/>
      <c r="K127" s="23">
        <f t="shared" ref="K127" si="55">G127*0.3</f>
        <v>10438.199999999999</v>
      </c>
      <c r="L127" s="23">
        <f>20000*C127-G127-K127</f>
        <v>44767.8</v>
      </c>
      <c r="M127" s="23"/>
      <c r="N127" s="23"/>
      <c r="O127" s="23"/>
      <c r="P127" s="23"/>
      <c r="Q127" s="23"/>
      <c r="R127" s="23">
        <f>G127+K127+L127+O127</f>
        <v>90000</v>
      </c>
      <c r="S127" s="25">
        <f>R127*12</f>
        <v>1080000</v>
      </c>
    </row>
    <row r="128" spans="1:20" x14ac:dyDescent="0.25">
      <c r="A128" s="20" t="s">
        <v>209</v>
      </c>
      <c r="B128" s="21" t="s">
        <v>208</v>
      </c>
      <c r="C128" s="22">
        <v>1</v>
      </c>
      <c r="D128" s="22">
        <v>13</v>
      </c>
      <c r="E128" s="23">
        <v>7523</v>
      </c>
      <c r="F128" s="22"/>
      <c r="G128" s="23">
        <f t="shared" si="54"/>
        <v>7523</v>
      </c>
      <c r="H128" s="23"/>
      <c r="I128" s="23"/>
      <c r="J128" s="23"/>
      <c r="K128" s="23">
        <f>G128*0.3</f>
        <v>2256.9</v>
      </c>
      <c r="L128" s="23">
        <f>20000-G128-K128</f>
        <v>10220.1</v>
      </c>
      <c r="M128" s="23"/>
      <c r="N128" s="23"/>
      <c r="O128" s="23"/>
      <c r="P128" s="23"/>
      <c r="Q128" s="23"/>
      <c r="R128" s="23">
        <f>G128+K128+L128+O128</f>
        <v>20000</v>
      </c>
      <c r="S128" s="25">
        <f t="shared" ref="S128:S133" si="56">R128*12</f>
        <v>240000</v>
      </c>
    </row>
    <row r="129" spans="1:20" s="13" customFormat="1" x14ac:dyDescent="0.25">
      <c r="A129" s="20" t="s">
        <v>210</v>
      </c>
      <c r="B129" s="21" t="s">
        <v>112</v>
      </c>
      <c r="C129" s="22">
        <v>1</v>
      </c>
      <c r="D129" s="22">
        <v>12</v>
      </c>
      <c r="E129" s="23">
        <v>6773</v>
      </c>
      <c r="F129" s="22"/>
      <c r="G129" s="23">
        <f t="shared" si="54"/>
        <v>6773</v>
      </c>
      <c r="H129" s="23"/>
      <c r="I129" s="23"/>
      <c r="J129" s="23"/>
      <c r="K129" s="23">
        <f t="shared" ref="K129:K131" si="57">G129*0.3</f>
        <v>2031.8999999999999</v>
      </c>
      <c r="L129" s="23">
        <f t="shared" ref="L129" si="58">20000-G129-K129</f>
        <v>11195.1</v>
      </c>
      <c r="M129" s="23"/>
      <c r="N129" s="23"/>
      <c r="O129" s="23"/>
      <c r="P129" s="23"/>
      <c r="Q129" s="23"/>
      <c r="R129" s="23">
        <f>G129+K129+L129+O129</f>
        <v>20000</v>
      </c>
      <c r="S129" s="25">
        <f t="shared" si="56"/>
        <v>240000</v>
      </c>
    </row>
    <row r="130" spans="1:20" x14ac:dyDescent="0.25">
      <c r="A130" s="20" t="s">
        <v>213</v>
      </c>
      <c r="B130" s="21" t="s">
        <v>211</v>
      </c>
      <c r="C130" s="22">
        <v>5</v>
      </c>
      <c r="D130" s="22">
        <v>10</v>
      </c>
      <c r="E130" s="23">
        <f>5815*C130</f>
        <v>29075</v>
      </c>
      <c r="F130" s="22"/>
      <c r="G130" s="23">
        <f t="shared" si="54"/>
        <v>29075</v>
      </c>
      <c r="H130" s="23"/>
      <c r="I130" s="23">
        <f>G130*0.1</f>
        <v>2907.5</v>
      </c>
      <c r="J130" s="23"/>
      <c r="K130" s="23">
        <f t="shared" si="57"/>
        <v>8722.5</v>
      </c>
      <c r="L130" s="23">
        <f>13500*C130-G130-I130-K130</f>
        <v>26795</v>
      </c>
      <c r="M130" s="23"/>
      <c r="N130" s="23"/>
      <c r="O130" s="23"/>
      <c r="P130" s="23"/>
      <c r="Q130" s="23"/>
      <c r="R130" s="23">
        <f>G130+I130+K130+L130</f>
        <v>67500</v>
      </c>
      <c r="S130" s="25">
        <f t="shared" si="56"/>
        <v>810000</v>
      </c>
      <c r="T130" s="53"/>
    </row>
    <row r="131" spans="1:20" s="13" customFormat="1" x14ac:dyDescent="0.25">
      <c r="A131" s="20" t="s">
        <v>214</v>
      </c>
      <c r="B131" s="21" t="s">
        <v>91</v>
      </c>
      <c r="C131" s="22">
        <v>1</v>
      </c>
      <c r="D131" s="22">
        <v>10</v>
      </c>
      <c r="E131" s="23">
        <v>5815</v>
      </c>
      <c r="F131" s="22"/>
      <c r="G131" s="23">
        <f t="shared" si="54"/>
        <v>5815</v>
      </c>
      <c r="H131" s="23"/>
      <c r="I131" s="23"/>
      <c r="J131" s="23"/>
      <c r="K131" s="23">
        <f t="shared" si="57"/>
        <v>1744.5</v>
      </c>
      <c r="L131" s="23">
        <f t="shared" ref="L131:L132" si="59">13500-G131-K131</f>
        <v>5940.5</v>
      </c>
      <c r="M131" s="23"/>
      <c r="N131" s="23"/>
      <c r="O131" s="23"/>
      <c r="P131" s="23"/>
      <c r="Q131" s="23"/>
      <c r="R131" s="23">
        <f t="shared" ref="R131:R132" si="60">G131+K131+L131</f>
        <v>13500</v>
      </c>
      <c r="S131" s="25">
        <f t="shared" si="56"/>
        <v>162000</v>
      </c>
    </row>
    <row r="132" spans="1:20" x14ac:dyDescent="0.25">
      <c r="A132" s="20" t="s">
        <v>216</v>
      </c>
      <c r="B132" s="21" t="s">
        <v>215</v>
      </c>
      <c r="C132" s="22">
        <v>1</v>
      </c>
      <c r="D132" s="22">
        <v>10</v>
      </c>
      <c r="E132" s="23">
        <v>5815</v>
      </c>
      <c r="F132" s="22"/>
      <c r="G132" s="23">
        <f t="shared" si="54"/>
        <v>5815</v>
      </c>
      <c r="H132" s="23"/>
      <c r="I132" s="23"/>
      <c r="J132" s="23"/>
      <c r="K132" s="23">
        <f>G132*0.3</f>
        <v>1744.5</v>
      </c>
      <c r="L132" s="23">
        <f t="shared" si="59"/>
        <v>5940.5</v>
      </c>
      <c r="M132" s="23"/>
      <c r="N132" s="23"/>
      <c r="O132" s="23"/>
      <c r="P132" s="23"/>
      <c r="Q132" s="23"/>
      <c r="R132" s="23">
        <f t="shared" si="60"/>
        <v>13500</v>
      </c>
      <c r="S132" s="25">
        <f t="shared" si="56"/>
        <v>162000</v>
      </c>
    </row>
    <row r="133" spans="1:20" x14ac:dyDescent="0.25">
      <c r="A133" s="20" t="s">
        <v>218</v>
      </c>
      <c r="B133" s="21" t="s">
        <v>134</v>
      </c>
      <c r="C133" s="22">
        <v>2</v>
      </c>
      <c r="D133" s="22">
        <v>3</v>
      </c>
      <c r="E133" s="23">
        <f>3770*C133</f>
        <v>7540</v>
      </c>
      <c r="F133" s="22"/>
      <c r="G133" s="23">
        <f t="shared" si="54"/>
        <v>7540</v>
      </c>
      <c r="H133" s="23"/>
      <c r="I133" s="23">
        <f>G133*0.1</f>
        <v>754</v>
      </c>
      <c r="J133" s="23"/>
      <c r="K133" s="23"/>
      <c r="L133" s="23"/>
      <c r="M133" s="23"/>
      <c r="N133" s="23"/>
      <c r="O133" s="23"/>
      <c r="P133" s="23">
        <f>8000*C133-G133</f>
        <v>8460</v>
      </c>
      <c r="Q133" s="23"/>
      <c r="R133" s="23">
        <f>SUM(G133:Q133)</f>
        <v>16754</v>
      </c>
      <c r="S133" s="25">
        <f t="shared" si="56"/>
        <v>201048</v>
      </c>
    </row>
    <row r="134" spans="1:20" s="27" customFormat="1" ht="20.399999999999999" customHeight="1" thickBot="1" x14ac:dyDescent="0.3">
      <c r="A134" s="64"/>
      <c r="B134" s="47" t="s">
        <v>59</v>
      </c>
      <c r="C134" s="34">
        <f>SUM(C123:C133)</f>
        <v>17.5</v>
      </c>
      <c r="D134" s="34"/>
      <c r="E134" s="35">
        <f>SUM(E123:E133)</f>
        <v>110403</v>
      </c>
      <c r="F134" s="34">
        <f>SUM(F123:F133)</f>
        <v>2032.1000000000001</v>
      </c>
      <c r="G134" s="35">
        <f>SUM(G123:G133)</f>
        <v>112435.1</v>
      </c>
      <c r="H134" s="35"/>
      <c r="I134" s="35">
        <f>SUM(I123:I133)</f>
        <v>3661.5</v>
      </c>
      <c r="J134" s="35"/>
      <c r="K134" s="35">
        <f>SUM(K123:K133)</f>
        <v>31468.530000000002</v>
      </c>
      <c r="L134" s="35">
        <f>SUM(L123:L133)</f>
        <v>118728.87000000001</v>
      </c>
      <c r="M134" s="35">
        <f>SUM(M133:M133)</f>
        <v>0</v>
      </c>
      <c r="N134" s="35"/>
      <c r="O134" s="35">
        <f>SUM(O128:O133)</f>
        <v>0</v>
      </c>
      <c r="P134" s="35">
        <f>SUM(P133:P133)</f>
        <v>8460</v>
      </c>
      <c r="Q134" s="35"/>
      <c r="R134" s="35">
        <f>SUM(R123:R133)</f>
        <v>274754</v>
      </c>
      <c r="S134" s="36">
        <f>SUM(S123:S133)</f>
        <v>3297048</v>
      </c>
    </row>
    <row r="135" spans="1:20" ht="22.8" x14ac:dyDescent="0.25">
      <c r="A135" s="15"/>
      <c r="B135" s="55" t="s">
        <v>217</v>
      </c>
      <c r="C135" s="85"/>
      <c r="D135" s="85"/>
      <c r="E135" s="94"/>
      <c r="F135" s="85"/>
      <c r="G135" s="94"/>
      <c r="H135" s="94"/>
      <c r="I135" s="94"/>
      <c r="J135" s="94"/>
      <c r="K135" s="94"/>
      <c r="L135" s="94"/>
      <c r="M135" s="94"/>
      <c r="N135" s="94"/>
      <c r="O135" s="94"/>
      <c r="P135" s="94"/>
      <c r="Q135" s="94"/>
      <c r="R135" s="94"/>
      <c r="S135" s="110"/>
    </row>
    <row r="136" spans="1:20" x14ac:dyDescent="0.25">
      <c r="A136" s="20" t="s">
        <v>221</v>
      </c>
      <c r="B136" s="21" t="s">
        <v>219</v>
      </c>
      <c r="C136" s="22">
        <v>6</v>
      </c>
      <c r="D136" s="22">
        <v>10</v>
      </c>
      <c r="E136" s="23">
        <f>5815*C136</f>
        <v>34890</v>
      </c>
      <c r="F136" s="22"/>
      <c r="G136" s="23">
        <f t="shared" ref="G136:G137" si="61">E136+F136</f>
        <v>34890</v>
      </c>
      <c r="H136" s="23"/>
      <c r="I136" s="23"/>
      <c r="J136" s="23"/>
      <c r="K136" s="23">
        <f t="shared" ref="K136" si="62">G136*0.3</f>
        <v>10467</v>
      </c>
      <c r="L136" s="23">
        <f>13500*C136-G136-K136-N136</f>
        <v>31556.22</v>
      </c>
      <c r="M136" s="23"/>
      <c r="N136" s="23">
        <f>681.13*C136</f>
        <v>4086.7799999999997</v>
      </c>
      <c r="O136" s="23"/>
      <c r="P136" s="23"/>
      <c r="Q136" s="23"/>
      <c r="R136" s="23">
        <f t="shared" ref="R136" si="63">G136+K136+L136+N136</f>
        <v>81000</v>
      </c>
      <c r="S136" s="25">
        <f t="shared" ref="S136:S137" si="64">R136*12</f>
        <v>972000</v>
      </c>
    </row>
    <row r="137" spans="1:20" x14ac:dyDescent="0.25">
      <c r="A137" s="20" t="s">
        <v>223</v>
      </c>
      <c r="B137" s="21" t="s">
        <v>78</v>
      </c>
      <c r="C137" s="22">
        <v>5</v>
      </c>
      <c r="D137" s="22">
        <v>4</v>
      </c>
      <c r="E137" s="23">
        <f>4058*C137</f>
        <v>20290</v>
      </c>
      <c r="F137" s="22"/>
      <c r="G137" s="23">
        <f t="shared" si="61"/>
        <v>20290</v>
      </c>
      <c r="H137" s="23"/>
      <c r="I137" s="23"/>
      <c r="J137" s="23"/>
      <c r="K137" s="23"/>
      <c r="L137" s="23"/>
      <c r="M137" s="23"/>
      <c r="N137" s="23">
        <f>475.33*C137</f>
        <v>2376.65</v>
      </c>
      <c r="O137" s="23"/>
      <c r="P137" s="23">
        <f>8000*C137-G137</f>
        <v>19710</v>
      </c>
      <c r="Q137" s="23"/>
      <c r="R137" s="23">
        <f>E137+P137+N137</f>
        <v>42376.65</v>
      </c>
      <c r="S137" s="25">
        <f t="shared" si="64"/>
        <v>508519.80000000005</v>
      </c>
    </row>
    <row r="138" spans="1:20" s="27" customFormat="1" ht="22.2" customHeight="1" thickBot="1" x14ac:dyDescent="0.3">
      <c r="A138" s="64"/>
      <c r="B138" s="47" t="s">
        <v>59</v>
      </c>
      <c r="C138" s="34">
        <f>SUM(C136:C137)</f>
        <v>11</v>
      </c>
      <c r="D138" s="34"/>
      <c r="E138" s="35">
        <f>SUM(E136:E137)</f>
        <v>55180</v>
      </c>
      <c r="F138" s="34"/>
      <c r="G138" s="35">
        <f>SUM(G136:G137)</f>
        <v>55180</v>
      </c>
      <c r="H138" s="35"/>
      <c r="I138" s="35"/>
      <c r="J138" s="35"/>
      <c r="K138" s="35">
        <f>SUM(K136:K137)</f>
        <v>10467</v>
      </c>
      <c r="L138" s="35">
        <f>SUM(L136:L137)</f>
        <v>31556.22</v>
      </c>
      <c r="M138" s="35"/>
      <c r="N138" s="35">
        <f>SUM(N136:N137)</f>
        <v>6463.43</v>
      </c>
      <c r="O138" s="35"/>
      <c r="P138" s="35">
        <f>SUM(P136:P137)</f>
        <v>19710</v>
      </c>
      <c r="Q138" s="35"/>
      <c r="R138" s="35">
        <f>SUM(R136:R137)</f>
        <v>123376.65</v>
      </c>
      <c r="S138" s="36">
        <f>SUM(S136:S137)</f>
        <v>1480519.8</v>
      </c>
    </row>
    <row r="139" spans="1:20" ht="29.4" customHeight="1" x14ac:dyDescent="0.25">
      <c r="A139" s="15"/>
      <c r="B139" s="55" t="s">
        <v>222</v>
      </c>
      <c r="C139" s="85"/>
      <c r="D139" s="85"/>
      <c r="E139" s="94"/>
      <c r="F139" s="85"/>
      <c r="G139" s="94"/>
      <c r="H139" s="94"/>
      <c r="I139" s="94"/>
      <c r="J139" s="94"/>
      <c r="K139" s="94"/>
      <c r="L139" s="94"/>
      <c r="M139" s="94"/>
      <c r="N139" s="94"/>
      <c r="O139" s="94"/>
      <c r="P139" s="94"/>
      <c r="Q139" s="94"/>
      <c r="R139" s="94"/>
      <c r="S139" s="110"/>
    </row>
    <row r="140" spans="1:20" x14ac:dyDescent="0.25">
      <c r="A140" s="20" t="s">
        <v>224</v>
      </c>
      <c r="B140" s="21" t="s">
        <v>206</v>
      </c>
      <c r="C140" s="22">
        <v>1</v>
      </c>
      <c r="D140" s="22">
        <v>12</v>
      </c>
      <c r="E140" s="23">
        <f>6773*C140</f>
        <v>6773</v>
      </c>
      <c r="F140" s="22">
        <f>E140*0.1</f>
        <v>677.30000000000007</v>
      </c>
      <c r="G140" s="23">
        <f t="shared" ref="G140:G145" si="65">E140+F140</f>
        <v>7450.3</v>
      </c>
      <c r="H140" s="23"/>
      <c r="I140" s="23"/>
      <c r="J140" s="23"/>
      <c r="K140" s="23">
        <f>G140*0.3</f>
        <v>2235.09</v>
      </c>
      <c r="L140" s="23">
        <f>20000*C140-G140-K140</f>
        <v>10314.61</v>
      </c>
      <c r="M140" s="23"/>
      <c r="N140" s="23"/>
      <c r="O140" s="23"/>
      <c r="P140" s="23"/>
      <c r="Q140" s="23"/>
      <c r="R140" s="23">
        <f>G140+K140+L140</f>
        <v>20000</v>
      </c>
      <c r="S140" s="25">
        <f>R140*12</f>
        <v>240000</v>
      </c>
    </row>
    <row r="141" spans="1:20" x14ac:dyDescent="0.25">
      <c r="A141" s="20" t="s">
        <v>225</v>
      </c>
      <c r="B141" s="21" t="s">
        <v>91</v>
      </c>
      <c r="C141" s="22">
        <v>1</v>
      </c>
      <c r="D141" s="22">
        <v>7</v>
      </c>
      <c r="E141" s="23">
        <v>4920</v>
      </c>
      <c r="F141" s="22"/>
      <c r="G141" s="23">
        <f t="shared" si="65"/>
        <v>4920</v>
      </c>
      <c r="H141" s="23"/>
      <c r="I141" s="23"/>
      <c r="J141" s="23"/>
      <c r="K141" s="23">
        <f>G141*0.3</f>
        <v>1476</v>
      </c>
      <c r="L141" s="23">
        <f>13500-G141-K141</f>
        <v>7104</v>
      </c>
      <c r="M141" s="23"/>
      <c r="N141" s="23"/>
      <c r="O141" s="23"/>
      <c r="P141" s="23"/>
      <c r="Q141" s="23"/>
      <c r="R141" s="23">
        <f>G141+K141+L141</f>
        <v>13500</v>
      </c>
      <c r="S141" s="25">
        <f t="shared" ref="S141:S144" si="66">R141*12</f>
        <v>162000</v>
      </c>
    </row>
    <row r="142" spans="1:20" x14ac:dyDescent="0.25">
      <c r="A142" s="20" t="s">
        <v>226</v>
      </c>
      <c r="B142" s="21" t="s">
        <v>134</v>
      </c>
      <c r="C142" s="22">
        <v>1</v>
      </c>
      <c r="D142" s="22">
        <v>3</v>
      </c>
      <c r="E142" s="23">
        <v>3770</v>
      </c>
      <c r="F142" s="22"/>
      <c r="G142" s="23">
        <f t="shared" si="65"/>
        <v>3770</v>
      </c>
      <c r="H142" s="23"/>
      <c r="I142" s="23">
        <f>G142*0.1</f>
        <v>377</v>
      </c>
      <c r="J142" s="23"/>
      <c r="K142" s="23"/>
      <c r="L142" s="23"/>
      <c r="M142" s="23"/>
      <c r="N142" s="23"/>
      <c r="O142" s="23"/>
      <c r="P142" s="23">
        <f>8000-G142</f>
        <v>4230</v>
      </c>
      <c r="Q142" s="23"/>
      <c r="R142" s="23">
        <f>SUM(G142:Q142)</f>
        <v>8377</v>
      </c>
      <c r="S142" s="25">
        <f t="shared" si="66"/>
        <v>100524</v>
      </c>
    </row>
    <row r="143" spans="1:20" x14ac:dyDescent="0.25">
      <c r="A143" s="20" t="s">
        <v>228</v>
      </c>
      <c r="B143" s="21" t="s">
        <v>227</v>
      </c>
      <c r="C143" s="22">
        <v>2</v>
      </c>
      <c r="D143" s="22">
        <v>1</v>
      </c>
      <c r="E143" s="23">
        <f>3195*C143</f>
        <v>6390</v>
      </c>
      <c r="F143" s="22"/>
      <c r="G143" s="23">
        <f t="shared" si="65"/>
        <v>6390</v>
      </c>
      <c r="H143" s="23"/>
      <c r="I143" s="23"/>
      <c r="J143" s="23"/>
      <c r="K143" s="23"/>
      <c r="L143" s="23"/>
      <c r="M143" s="23"/>
      <c r="N143" s="23"/>
      <c r="O143" s="23"/>
      <c r="P143" s="23">
        <f>8000*C143-G143</f>
        <v>9610</v>
      </c>
      <c r="Q143" s="23"/>
      <c r="R143" s="23">
        <f>SUM(G143:Q143)</f>
        <v>16000</v>
      </c>
      <c r="S143" s="25">
        <f>R143*6</f>
        <v>96000</v>
      </c>
    </row>
    <row r="144" spans="1:20" s="38" customFormat="1" x14ac:dyDescent="0.25">
      <c r="A144" s="20" t="s">
        <v>231</v>
      </c>
      <c r="B144" s="21" t="s">
        <v>229</v>
      </c>
      <c r="C144" s="22">
        <v>0.5</v>
      </c>
      <c r="D144" s="22">
        <v>1</v>
      </c>
      <c r="E144" s="23">
        <v>1597.5</v>
      </c>
      <c r="F144" s="22"/>
      <c r="G144" s="23">
        <f t="shared" si="65"/>
        <v>1597.5</v>
      </c>
      <c r="H144" s="23"/>
      <c r="I144" s="23"/>
      <c r="J144" s="23"/>
      <c r="K144" s="23"/>
      <c r="L144" s="23"/>
      <c r="M144" s="23"/>
      <c r="N144" s="23"/>
      <c r="O144" s="23"/>
      <c r="P144" s="23">
        <f>4000-G144</f>
        <v>2402.5</v>
      </c>
      <c r="Q144" s="23"/>
      <c r="R144" s="23">
        <f>SUM(G144:Q144)</f>
        <v>4000</v>
      </c>
      <c r="S144" s="25">
        <f t="shared" si="66"/>
        <v>48000</v>
      </c>
    </row>
    <row r="145" spans="1:20" s="27" customFormat="1" ht="22.2" customHeight="1" thickBot="1" x14ac:dyDescent="0.3">
      <c r="A145" s="64"/>
      <c r="B145" s="47" t="s">
        <v>59</v>
      </c>
      <c r="C145" s="34">
        <f>SUM(C140:C144)</f>
        <v>5.5</v>
      </c>
      <c r="D145" s="34"/>
      <c r="E145" s="35">
        <f>SUM(E140:E144)</f>
        <v>23450.5</v>
      </c>
      <c r="F145" s="34">
        <f>SUM(F140:F144)</f>
        <v>677.30000000000007</v>
      </c>
      <c r="G145" s="35">
        <f t="shared" si="65"/>
        <v>24127.8</v>
      </c>
      <c r="H145" s="35"/>
      <c r="I145" s="35">
        <f>SUM(I142:I144)</f>
        <v>377</v>
      </c>
      <c r="J145" s="35"/>
      <c r="K145" s="35">
        <f>SUM(K140:K144)</f>
        <v>3711.09</v>
      </c>
      <c r="L145" s="35">
        <f>SUM(L140:L144)</f>
        <v>17418.61</v>
      </c>
      <c r="M145" s="35"/>
      <c r="N145" s="35"/>
      <c r="O145" s="35"/>
      <c r="P145" s="35">
        <f>SUM(P140:P144)</f>
        <v>16242.5</v>
      </c>
      <c r="Q145" s="35"/>
      <c r="R145" s="35">
        <f>SUM(R140:R144)</f>
        <v>61877</v>
      </c>
      <c r="S145" s="36">
        <f>SUM(S140:S144)</f>
        <v>646524</v>
      </c>
    </row>
    <row r="146" spans="1:20" ht="20.399999999999999" customHeight="1" x14ac:dyDescent="0.25">
      <c r="A146" s="15"/>
      <c r="B146" s="55" t="s">
        <v>230</v>
      </c>
      <c r="C146" s="85"/>
      <c r="D146" s="85"/>
      <c r="E146" s="94"/>
      <c r="F146" s="85"/>
      <c r="G146" s="94"/>
      <c r="H146" s="94"/>
      <c r="I146" s="94"/>
      <c r="J146" s="94"/>
      <c r="K146" s="94"/>
      <c r="L146" s="94"/>
      <c r="M146" s="94"/>
      <c r="N146" s="94"/>
      <c r="O146" s="94"/>
      <c r="P146" s="94"/>
      <c r="Q146" s="94"/>
      <c r="R146" s="94"/>
      <c r="S146" s="110"/>
    </row>
    <row r="147" spans="1:20" x14ac:dyDescent="0.25">
      <c r="A147" s="20" t="s">
        <v>233</v>
      </c>
      <c r="B147" s="21" t="s">
        <v>232</v>
      </c>
      <c r="C147" s="22">
        <v>1.25</v>
      </c>
      <c r="D147" s="22">
        <v>13</v>
      </c>
      <c r="E147" s="23">
        <f>7253*C147</f>
        <v>9066.25</v>
      </c>
      <c r="F147" s="22">
        <f>E147*0.1</f>
        <v>906.625</v>
      </c>
      <c r="G147" s="23">
        <f t="shared" ref="G147:G151" si="67">E147+F147</f>
        <v>9972.875</v>
      </c>
      <c r="H147" s="23"/>
      <c r="I147" s="23"/>
      <c r="J147" s="23"/>
      <c r="K147" s="23">
        <f>G147*0.3</f>
        <v>2991.8624999999997</v>
      </c>
      <c r="L147" s="23">
        <f>20000*C147-G147-K147</f>
        <v>12035.262500000001</v>
      </c>
      <c r="M147" s="23"/>
      <c r="N147" s="23"/>
      <c r="O147" s="23"/>
      <c r="P147" s="23"/>
      <c r="Q147" s="23"/>
      <c r="R147" s="23">
        <f>G147+K147+L147+O147</f>
        <v>25000</v>
      </c>
      <c r="S147" s="25">
        <f>R147*12</f>
        <v>300000</v>
      </c>
    </row>
    <row r="148" spans="1:20" x14ac:dyDescent="0.25">
      <c r="A148" s="20" t="s">
        <v>234</v>
      </c>
      <c r="B148" s="21" t="s">
        <v>212</v>
      </c>
      <c r="C148" s="22">
        <v>2</v>
      </c>
      <c r="D148" s="22">
        <v>10</v>
      </c>
      <c r="E148" s="23">
        <f>5815*C148</f>
        <v>11630</v>
      </c>
      <c r="F148" s="22"/>
      <c r="G148" s="23">
        <f t="shared" si="67"/>
        <v>11630</v>
      </c>
      <c r="H148" s="23"/>
      <c r="I148" s="23"/>
      <c r="J148" s="23"/>
      <c r="K148" s="23">
        <f t="shared" ref="K148:K149" si="68">G148*0.3</f>
        <v>3489</v>
      </c>
      <c r="L148" s="23">
        <f>13500*C148-G148-K148</f>
        <v>11881</v>
      </c>
      <c r="M148" s="23"/>
      <c r="N148" s="23"/>
      <c r="O148" s="23"/>
      <c r="P148" s="23"/>
      <c r="Q148" s="23"/>
      <c r="R148" s="23">
        <f>G148+K148+L148</f>
        <v>27000</v>
      </c>
      <c r="S148" s="25">
        <f t="shared" ref="S148:S150" si="69">R148*12</f>
        <v>324000</v>
      </c>
    </row>
    <row r="149" spans="1:20" s="13" customFormat="1" x14ac:dyDescent="0.25">
      <c r="A149" s="20" t="s">
        <v>236</v>
      </c>
      <c r="B149" s="21" t="s">
        <v>235</v>
      </c>
      <c r="C149" s="22">
        <v>1</v>
      </c>
      <c r="D149" s="22">
        <v>7</v>
      </c>
      <c r="E149" s="23">
        <v>4920</v>
      </c>
      <c r="F149" s="22"/>
      <c r="G149" s="23">
        <f t="shared" si="67"/>
        <v>4920</v>
      </c>
      <c r="H149" s="23"/>
      <c r="I149" s="23"/>
      <c r="J149" s="23"/>
      <c r="K149" s="23">
        <f t="shared" si="68"/>
        <v>1476</v>
      </c>
      <c r="L149" s="23">
        <f>13500-G149-K149</f>
        <v>7104</v>
      </c>
      <c r="M149" s="23"/>
      <c r="N149" s="23"/>
      <c r="O149" s="23"/>
      <c r="P149" s="23"/>
      <c r="Q149" s="23"/>
      <c r="R149" s="23">
        <f>G149+L149+K149</f>
        <v>13500</v>
      </c>
      <c r="S149" s="25">
        <f t="shared" si="69"/>
        <v>162000</v>
      </c>
    </row>
    <row r="150" spans="1:20" s="38" customFormat="1" x14ac:dyDescent="0.25">
      <c r="A150" s="20" t="s">
        <v>238</v>
      </c>
      <c r="B150" s="21" t="s">
        <v>134</v>
      </c>
      <c r="C150" s="22">
        <v>1</v>
      </c>
      <c r="D150" s="22">
        <v>3</v>
      </c>
      <c r="E150" s="23">
        <v>3770</v>
      </c>
      <c r="F150" s="22"/>
      <c r="G150" s="23">
        <f t="shared" si="67"/>
        <v>3770</v>
      </c>
      <c r="H150" s="23"/>
      <c r="I150" s="23">
        <f>G150*0.1</f>
        <v>377</v>
      </c>
      <c r="J150" s="23"/>
      <c r="K150" s="23"/>
      <c r="L150" s="23"/>
      <c r="M150" s="23"/>
      <c r="N150" s="23"/>
      <c r="O150" s="23"/>
      <c r="P150" s="23">
        <f>8000-G150</f>
        <v>4230</v>
      </c>
      <c r="Q150" s="23"/>
      <c r="R150" s="23">
        <f>G150+I150+P150</f>
        <v>8377</v>
      </c>
      <c r="S150" s="25">
        <f t="shared" si="69"/>
        <v>100524</v>
      </c>
      <c r="T150" s="46"/>
    </row>
    <row r="151" spans="1:20" s="27" customFormat="1" ht="22.2" customHeight="1" thickBot="1" x14ac:dyDescent="0.3">
      <c r="A151" s="64"/>
      <c r="B151" s="47" t="s">
        <v>59</v>
      </c>
      <c r="C151" s="34">
        <f>SUM(C147:C150)</f>
        <v>5.25</v>
      </c>
      <c r="D151" s="34"/>
      <c r="E151" s="35">
        <f>SUM(E147:E150)</f>
        <v>29386.25</v>
      </c>
      <c r="F151" s="34">
        <f>SUM(F147:F150)</f>
        <v>906.625</v>
      </c>
      <c r="G151" s="35">
        <f t="shared" si="67"/>
        <v>30292.875</v>
      </c>
      <c r="H151" s="35"/>
      <c r="I151" s="35">
        <f>SUM(I150)</f>
        <v>377</v>
      </c>
      <c r="J151" s="35"/>
      <c r="K151" s="35">
        <f>SUM(K147:K150)</f>
        <v>7956.8624999999993</v>
      </c>
      <c r="L151" s="35">
        <f>SUM(L147:L150)</f>
        <v>31020.262500000001</v>
      </c>
      <c r="M151" s="35">
        <f>SUM(M147:M149)</f>
        <v>0</v>
      </c>
      <c r="N151" s="35"/>
      <c r="O151" s="35">
        <f>SUM(O147:O150)</f>
        <v>0</v>
      </c>
      <c r="P151" s="35">
        <f>SUM(P150)</f>
        <v>4230</v>
      </c>
      <c r="Q151" s="35"/>
      <c r="R151" s="35">
        <f>SUM(R147:R150)</f>
        <v>73877</v>
      </c>
      <c r="S151" s="36">
        <f>SUM(S147:S150)</f>
        <v>886524</v>
      </c>
    </row>
    <row r="152" spans="1:20" ht="19.8" customHeight="1" x14ac:dyDescent="0.25">
      <c r="A152" s="15"/>
      <c r="B152" s="55" t="s">
        <v>237</v>
      </c>
      <c r="C152" s="85"/>
      <c r="D152" s="85"/>
      <c r="E152" s="94"/>
      <c r="F152" s="85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110"/>
    </row>
    <row r="153" spans="1:20" x14ac:dyDescent="0.25">
      <c r="A153" s="20" t="s">
        <v>239</v>
      </c>
      <c r="B153" s="21" t="s">
        <v>206</v>
      </c>
      <c r="C153" s="22">
        <v>2</v>
      </c>
      <c r="D153" s="22">
        <v>11</v>
      </c>
      <c r="E153" s="23">
        <f>6294*C153</f>
        <v>12588</v>
      </c>
      <c r="F153" s="22">
        <f>E153*0.1</f>
        <v>1258.8000000000002</v>
      </c>
      <c r="G153" s="23">
        <f t="shared" ref="G153:G158" si="70">E153+F153</f>
        <v>13846.8</v>
      </c>
      <c r="H153" s="23"/>
      <c r="I153" s="23"/>
      <c r="J153" s="23"/>
      <c r="K153" s="23">
        <f>G153*0.3</f>
        <v>4154.04</v>
      </c>
      <c r="L153" s="23">
        <f>20000*C153-G153-K153</f>
        <v>21999.16</v>
      </c>
      <c r="M153" s="23"/>
      <c r="N153" s="23"/>
      <c r="O153" s="23"/>
      <c r="P153" s="23"/>
      <c r="Q153" s="23"/>
      <c r="R153" s="23">
        <f>SUM(G153:Q153)</f>
        <v>40000</v>
      </c>
      <c r="S153" s="25">
        <f>R153*12</f>
        <v>480000</v>
      </c>
    </row>
    <row r="154" spans="1:20" x14ac:dyDescent="0.25">
      <c r="A154" s="20" t="s">
        <v>240</v>
      </c>
      <c r="B154" s="21" t="s">
        <v>241</v>
      </c>
      <c r="C154" s="22">
        <v>2</v>
      </c>
      <c r="D154" s="22">
        <v>10</v>
      </c>
      <c r="E154" s="23">
        <f>5815*C154</f>
        <v>11630</v>
      </c>
      <c r="F154" s="22"/>
      <c r="G154" s="23">
        <f t="shared" si="70"/>
        <v>11630</v>
      </c>
      <c r="H154" s="23"/>
      <c r="I154" s="23"/>
      <c r="J154" s="23"/>
      <c r="K154" s="23">
        <f t="shared" ref="K154:K155" si="71">G154*0.3</f>
        <v>3489</v>
      </c>
      <c r="L154" s="23">
        <f>13500*C154-G154-K154</f>
        <v>11881</v>
      </c>
      <c r="M154" s="23"/>
      <c r="N154" s="23"/>
      <c r="O154" s="23"/>
      <c r="P154" s="23"/>
      <c r="Q154" s="23"/>
      <c r="R154" s="23">
        <f>G154+K154+L154</f>
        <v>27000</v>
      </c>
      <c r="S154" s="25">
        <f t="shared" ref="S154:S157" si="72">R154*12</f>
        <v>324000</v>
      </c>
    </row>
    <row r="155" spans="1:20" s="13" customFormat="1" x14ac:dyDescent="0.25">
      <c r="A155" s="20" t="s">
        <v>242</v>
      </c>
      <c r="B155" s="21" t="s">
        <v>91</v>
      </c>
      <c r="C155" s="22">
        <v>2</v>
      </c>
      <c r="D155" s="22">
        <v>9</v>
      </c>
      <c r="E155" s="23">
        <f>5527*C155</f>
        <v>11054</v>
      </c>
      <c r="F155" s="22"/>
      <c r="G155" s="23">
        <f t="shared" si="70"/>
        <v>11054</v>
      </c>
      <c r="H155" s="23"/>
      <c r="I155" s="23"/>
      <c r="J155" s="23"/>
      <c r="K155" s="23">
        <f t="shared" si="71"/>
        <v>3316.2</v>
      </c>
      <c r="L155" s="23">
        <f>13500*C155-G155-K155</f>
        <v>12629.8</v>
      </c>
      <c r="M155" s="23"/>
      <c r="N155" s="23"/>
      <c r="O155" s="23"/>
      <c r="P155" s="23"/>
      <c r="Q155" s="23"/>
      <c r="R155" s="23">
        <f>G155+K155+L155</f>
        <v>27000</v>
      </c>
      <c r="S155" s="25">
        <f t="shared" si="72"/>
        <v>324000</v>
      </c>
    </row>
    <row r="156" spans="1:20" x14ac:dyDescent="0.25">
      <c r="A156" s="20" t="s">
        <v>243</v>
      </c>
      <c r="B156" s="21" t="s">
        <v>134</v>
      </c>
      <c r="C156" s="22">
        <v>1</v>
      </c>
      <c r="D156" s="22">
        <v>3</v>
      </c>
      <c r="E156" s="23">
        <v>3770</v>
      </c>
      <c r="F156" s="22"/>
      <c r="G156" s="23">
        <f t="shared" si="70"/>
        <v>3770</v>
      </c>
      <c r="H156" s="23"/>
      <c r="I156" s="23">
        <f>G156*0.1</f>
        <v>377</v>
      </c>
      <c r="J156" s="23"/>
      <c r="K156" s="23"/>
      <c r="L156" s="23"/>
      <c r="M156" s="23"/>
      <c r="N156" s="23"/>
      <c r="O156" s="23"/>
      <c r="P156" s="23">
        <f>8000-G156</f>
        <v>4230</v>
      </c>
      <c r="Q156" s="23"/>
      <c r="R156" s="23">
        <f>SUM(G156:Q156)</f>
        <v>8377</v>
      </c>
      <c r="S156" s="25">
        <f t="shared" si="72"/>
        <v>100524</v>
      </c>
    </row>
    <row r="157" spans="1:20" s="38" customFormat="1" x14ac:dyDescent="0.25">
      <c r="A157" s="20" t="s">
        <v>244</v>
      </c>
      <c r="B157" s="21" t="s">
        <v>245</v>
      </c>
      <c r="C157" s="22">
        <v>1</v>
      </c>
      <c r="D157" s="22">
        <v>5</v>
      </c>
      <c r="E157" s="23">
        <v>4345</v>
      </c>
      <c r="F157" s="22"/>
      <c r="G157" s="23">
        <f t="shared" si="70"/>
        <v>4345</v>
      </c>
      <c r="H157" s="23"/>
      <c r="I157" s="23"/>
      <c r="J157" s="23"/>
      <c r="K157" s="23"/>
      <c r="L157" s="23"/>
      <c r="M157" s="23"/>
      <c r="N157" s="23"/>
      <c r="O157" s="23"/>
      <c r="P157" s="23">
        <f>8000-G157</f>
        <v>3655</v>
      </c>
      <c r="Q157" s="23"/>
      <c r="R157" s="23">
        <f>G157+P157</f>
        <v>8000</v>
      </c>
      <c r="S157" s="25">
        <f t="shared" si="72"/>
        <v>96000</v>
      </c>
    </row>
    <row r="158" spans="1:20" s="27" customFormat="1" ht="24.6" customHeight="1" thickBot="1" x14ac:dyDescent="0.3">
      <c r="A158" s="64"/>
      <c r="B158" s="47" t="s">
        <v>59</v>
      </c>
      <c r="C158" s="34">
        <f>SUM(C153:C157)</f>
        <v>8</v>
      </c>
      <c r="D158" s="34"/>
      <c r="E158" s="35">
        <f>SUM(E153:E157)</f>
        <v>43387</v>
      </c>
      <c r="F158" s="34">
        <f>SUM(F153:F157)</f>
        <v>1258.8000000000002</v>
      </c>
      <c r="G158" s="35">
        <f t="shared" si="70"/>
        <v>44645.8</v>
      </c>
      <c r="H158" s="35"/>
      <c r="I158" s="35">
        <f>SUM(I156:I157)</f>
        <v>377</v>
      </c>
      <c r="J158" s="35"/>
      <c r="K158" s="35">
        <f>SUM(K153:K157)</f>
        <v>10959.24</v>
      </c>
      <c r="L158" s="35">
        <f>SUM(L153:L157)</f>
        <v>46509.960000000006</v>
      </c>
      <c r="M158" s="35" t="e">
        <f>M153+#REF!</f>
        <v>#REF!</v>
      </c>
      <c r="N158" s="35"/>
      <c r="O158" s="35">
        <f>SUM(O153:O157)</f>
        <v>0</v>
      </c>
      <c r="P158" s="35">
        <f>SUM(P156:P157)</f>
        <v>7885</v>
      </c>
      <c r="Q158" s="35"/>
      <c r="R158" s="35">
        <f>SUM(R153:R157)</f>
        <v>110377</v>
      </c>
      <c r="S158" s="36">
        <f>SUM(S153:S157)</f>
        <v>1324524</v>
      </c>
    </row>
    <row r="159" spans="1:20" s="13" customFormat="1" ht="18" customHeight="1" x14ac:dyDescent="0.2">
      <c r="A159" s="18"/>
      <c r="B159" s="55" t="s">
        <v>246</v>
      </c>
      <c r="C159" s="85"/>
      <c r="D159" s="85"/>
      <c r="E159" s="94"/>
      <c r="F159" s="85"/>
      <c r="G159" s="94"/>
      <c r="H159" s="94"/>
      <c r="I159" s="94"/>
      <c r="J159" s="94"/>
      <c r="K159" s="94"/>
      <c r="L159" s="94"/>
      <c r="M159" s="94"/>
      <c r="N159" s="94"/>
      <c r="O159" s="94"/>
      <c r="P159" s="94"/>
      <c r="Q159" s="94"/>
      <c r="R159" s="94"/>
      <c r="S159" s="110"/>
    </row>
    <row r="160" spans="1:20" x14ac:dyDescent="0.25">
      <c r="A160" s="20" t="s">
        <v>247</v>
      </c>
      <c r="B160" s="21" t="s">
        <v>232</v>
      </c>
      <c r="C160" s="22">
        <v>1.25</v>
      </c>
      <c r="D160" s="22">
        <v>11</v>
      </c>
      <c r="E160" s="23">
        <f>6294*C160</f>
        <v>7867.5</v>
      </c>
      <c r="F160" s="22">
        <f>E160*0.1</f>
        <v>786.75</v>
      </c>
      <c r="G160" s="23">
        <f t="shared" ref="G160:G163" si="73">E160+F160</f>
        <v>8654.25</v>
      </c>
      <c r="H160" s="23"/>
      <c r="I160" s="23"/>
      <c r="J160" s="23"/>
      <c r="K160" s="23">
        <f>G160*0.3</f>
        <v>2596.2750000000001</v>
      </c>
      <c r="L160" s="23">
        <f>20000*C160-G160-K160</f>
        <v>13749.475</v>
      </c>
      <c r="M160" s="23"/>
      <c r="N160" s="23"/>
      <c r="O160" s="23"/>
      <c r="P160" s="23"/>
      <c r="Q160" s="23"/>
      <c r="R160" s="23">
        <f>G160+K160+L160+O160</f>
        <v>25000</v>
      </c>
      <c r="S160" s="25">
        <f>R160*12</f>
        <v>300000</v>
      </c>
      <c r="T160" s="53"/>
    </row>
    <row r="161" spans="1:20" x14ac:dyDescent="0.25">
      <c r="A161" s="20" t="s">
        <v>248</v>
      </c>
      <c r="B161" s="21" t="s">
        <v>235</v>
      </c>
      <c r="C161" s="22">
        <v>1</v>
      </c>
      <c r="D161" s="22">
        <v>10</v>
      </c>
      <c r="E161" s="23">
        <v>5815</v>
      </c>
      <c r="F161" s="22"/>
      <c r="G161" s="23">
        <f t="shared" si="73"/>
        <v>5815</v>
      </c>
      <c r="H161" s="23"/>
      <c r="I161" s="23"/>
      <c r="J161" s="23"/>
      <c r="K161" s="23">
        <f t="shared" ref="K161:K162" si="74">G161*0.3</f>
        <v>1744.5</v>
      </c>
      <c r="L161" s="23">
        <f>13500-G161-K161</f>
        <v>5940.5</v>
      </c>
      <c r="M161" s="23"/>
      <c r="N161" s="23"/>
      <c r="O161" s="23"/>
      <c r="P161" s="23"/>
      <c r="Q161" s="23"/>
      <c r="R161" s="23">
        <f>G161+K161+L161</f>
        <v>13500</v>
      </c>
      <c r="S161" s="25">
        <f t="shared" ref="S161:S164" si="75">R161*12</f>
        <v>162000</v>
      </c>
    </row>
    <row r="162" spans="1:20" x14ac:dyDescent="0.25">
      <c r="A162" s="20" t="s">
        <v>249</v>
      </c>
      <c r="B162" s="21" t="s">
        <v>91</v>
      </c>
      <c r="C162" s="22">
        <v>0.5</v>
      </c>
      <c r="D162" s="22">
        <v>10</v>
      </c>
      <c r="E162" s="23">
        <v>2907.5</v>
      </c>
      <c r="F162" s="22"/>
      <c r="G162" s="23">
        <f t="shared" si="73"/>
        <v>2907.5</v>
      </c>
      <c r="H162" s="23"/>
      <c r="I162" s="23"/>
      <c r="J162" s="23"/>
      <c r="K162" s="23">
        <f t="shared" si="74"/>
        <v>872.25</v>
      </c>
      <c r="L162" s="23">
        <f>13500/2-G162-K162</f>
        <v>2970.25</v>
      </c>
      <c r="M162" s="23"/>
      <c r="N162" s="23"/>
      <c r="O162" s="23"/>
      <c r="P162" s="23"/>
      <c r="Q162" s="23"/>
      <c r="R162" s="23">
        <f>G162+K162+L162</f>
        <v>6750</v>
      </c>
      <c r="S162" s="25">
        <f t="shared" si="75"/>
        <v>81000</v>
      </c>
    </row>
    <row r="163" spans="1:20" x14ac:dyDescent="0.25">
      <c r="A163" s="20" t="s">
        <v>250</v>
      </c>
      <c r="B163" s="21" t="s">
        <v>134</v>
      </c>
      <c r="C163" s="22">
        <v>0.5</v>
      </c>
      <c r="D163" s="22">
        <v>3</v>
      </c>
      <c r="E163" s="23">
        <v>1885</v>
      </c>
      <c r="F163" s="22"/>
      <c r="G163" s="23">
        <f t="shared" si="73"/>
        <v>1885</v>
      </c>
      <c r="H163" s="23"/>
      <c r="I163" s="23">
        <f>G163*0.1</f>
        <v>188.5</v>
      </c>
      <c r="J163" s="23"/>
      <c r="K163" s="23"/>
      <c r="L163" s="23"/>
      <c r="M163" s="23"/>
      <c r="N163" s="23"/>
      <c r="O163" s="23"/>
      <c r="P163" s="23">
        <f>8000/2-G163</f>
        <v>2115</v>
      </c>
      <c r="Q163" s="23"/>
      <c r="R163" s="23">
        <f>SUM(G163:Q163)</f>
        <v>4188.5</v>
      </c>
      <c r="S163" s="25">
        <f t="shared" si="75"/>
        <v>50262</v>
      </c>
    </row>
    <row r="164" spans="1:20" s="38" customFormat="1" x14ac:dyDescent="0.25">
      <c r="A164" s="20" t="s">
        <v>251</v>
      </c>
      <c r="B164" s="21" t="s">
        <v>229</v>
      </c>
      <c r="C164" s="22">
        <v>0.5</v>
      </c>
      <c r="D164" s="22">
        <v>1</v>
      </c>
      <c r="E164" s="23">
        <v>1597.5</v>
      </c>
      <c r="F164" s="22"/>
      <c r="G164" s="23">
        <f>E164+F164</f>
        <v>1597.5</v>
      </c>
      <c r="H164" s="23"/>
      <c r="I164" s="23"/>
      <c r="J164" s="23"/>
      <c r="K164" s="23"/>
      <c r="L164" s="23"/>
      <c r="M164" s="23"/>
      <c r="N164" s="23"/>
      <c r="O164" s="23"/>
      <c r="P164" s="23">
        <f>8000/2-G164</f>
        <v>2402.5</v>
      </c>
      <c r="Q164" s="23"/>
      <c r="R164" s="23">
        <f t="shared" ref="R164" si="76">SUM(G164:Q164)</f>
        <v>4000</v>
      </c>
      <c r="S164" s="25">
        <f t="shared" si="75"/>
        <v>48000</v>
      </c>
    </row>
    <row r="165" spans="1:20" s="49" customFormat="1" ht="20.399999999999999" customHeight="1" thickBot="1" x14ac:dyDescent="0.3">
      <c r="A165" s="64"/>
      <c r="B165" s="47" t="s">
        <v>59</v>
      </c>
      <c r="C165" s="34">
        <f>SUM(C160:C164)</f>
        <v>3.75</v>
      </c>
      <c r="D165" s="34"/>
      <c r="E165" s="35">
        <f>SUM(E160:E164)</f>
        <v>20072.5</v>
      </c>
      <c r="F165" s="34">
        <f>SUM(F160:F164)</f>
        <v>786.75</v>
      </c>
      <c r="G165" s="35">
        <f>SUM(G160:G164)</f>
        <v>20859.25</v>
      </c>
      <c r="H165" s="35"/>
      <c r="I165" s="35">
        <f>SUM(I163:I164)</f>
        <v>188.5</v>
      </c>
      <c r="J165" s="35"/>
      <c r="K165" s="35">
        <f>SUM(K160:K164)</f>
        <v>5213.0249999999996</v>
      </c>
      <c r="L165" s="35">
        <f>SUM(L160:L164)</f>
        <v>22660.224999999999</v>
      </c>
      <c r="M165" s="35"/>
      <c r="N165" s="35"/>
      <c r="O165" s="35">
        <f>SUM(O160:O164)</f>
        <v>0</v>
      </c>
      <c r="P165" s="35">
        <f>SUM(P163:P164)</f>
        <v>4517.5</v>
      </c>
      <c r="Q165" s="35"/>
      <c r="R165" s="35">
        <f>SUM(R160:R164)</f>
        <v>53438.5</v>
      </c>
      <c r="S165" s="36">
        <f>SUM(S160:S164)</f>
        <v>641262</v>
      </c>
    </row>
    <row r="166" spans="1:20" s="13" customFormat="1" ht="23.4" customHeight="1" x14ac:dyDescent="0.2">
      <c r="A166" s="18"/>
      <c r="B166" s="55" t="s">
        <v>252</v>
      </c>
      <c r="C166" s="85"/>
      <c r="D166" s="85"/>
      <c r="E166" s="94"/>
      <c r="F166" s="85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  <c r="S166" s="110"/>
    </row>
    <row r="167" spans="1:20" s="13" customFormat="1" x14ac:dyDescent="0.25">
      <c r="A167" s="20" t="s">
        <v>253</v>
      </c>
      <c r="B167" s="21" t="s">
        <v>206</v>
      </c>
      <c r="C167" s="22">
        <v>1</v>
      </c>
      <c r="D167" s="22">
        <v>14</v>
      </c>
      <c r="E167" s="23">
        <v>7732</v>
      </c>
      <c r="F167" s="22">
        <f>E167*0.1</f>
        <v>773.2</v>
      </c>
      <c r="G167" s="23">
        <f t="shared" ref="G167:G174" si="77">E167+F167</f>
        <v>8505.2000000000007</v>
      </c>
      <c r="H167" s="23"/>
      <c r="I167" s="23"/>
      <c r="J167" s="23"/>
      <c r="K167" s="23">
        <f>G167*0.3</f>
        <v>2551.56</v>
      </c>
      <c r="L167" s="23">
        <f>20000-G167-K167</f>
        <v>8943.24</v>
      </c>
      <c r="M167" s="23"/>
      <c r="N167" s="23"/>
      <c r="O167" s="23"/>
      <c r="P167" s="23"/>
      <c r="Q167" s="23"/>
      <c r="R167" s="23">
        <f>G167+K167+L167+O167</f>
        <v>20000</v>
      </c>
      <c r="S167" s="25">
        <f>R167*12</f>
        <v>240000</v>
      </c>
    </row>
    <row r="168" spans="1:20" s="13" customFormat="1" x14ac:dyDescent="0.25">
      <c r="A168" s="20" t="s">
        <v>254</v>
      </c>
      <c r="B168" s="21" t="s">
        <v>112</v>
      </c>
      <c r="C168" s="22">
        <v>0.5</v>
      </c>
      <c r="D168" s="22">
        <v>13</v>
      </c>
      <c r="E168" s="23">
        <f>7253*C168</f>
        <v>3626.5</v>
      </c>
      <c r="F168" s="22"/>
      <c r="G168" s="23">
        <f t="shared" si="77"/>
        <v>3626.5</v>
      </c>
      <c r="H168" s="23"/>
      <c r="I168" s="23"/>
      <c r="J168" s="23"/>
      <c r="K168" s="23">
        <f t="shared" ref="K168:K171" si="78">G168*0.3</f>
        <v>1087.95</v>
      </c>
      <c r="L168" s="23">
        <f>20000*C168-G168-K168</f>
        <v>5285.55</v>
      </c>
      <c r="M168" s="23"/>
      <c r="N168" s="23"/>
      <c r="O168" s="23"/>
      <c r="P168" s="23"/>
      <c r="Q168" s="23"/>
      <c r="R168" s="23">
        <f>G168+K168+L168+O168</f>
        <v>10000</v>
      </c>
      <c r="S168" s="25">
        <f t="shared" ref="S168:S173" si="79">R168*12</f>
        <v>120000</v>
      </c>
    </row>
    <row r="169" spans="1:20" x14ac:dyDescent="0.25">
      <c r="A169" s="20" t="s">
        <v>255</v>
      </c>
      <c r="B169" s="21" t="s">
        <v>171</v>
      </c>
      <c r="C169" s="22">
        <v>1</v>
      </c>
      <c r="D169" s="22">
        <v>11</v>
      </c>
      <c r="E169" s="23">
        <v>6294</v>
      </c>
      <c r="F169" s="22"/>
      <c r="G169" s="23">
        <f t="shared" si="77"/>
        <v>6294</v>
      </c>
      <c r="H169" s="23"/>
      <c r="I169" s="23"/>
      <c r="J169" s="23"/>
      <c r="K169" s="23">
        <f t="shared" si="78"/>
        <v>1888.1999999999998</v>
      </c>
      <c r="L169" s="23">
        <f>20000-G169-K169</f>
        <v>11817.8</v>
      </c>
      <c r="M169" s="23"/>
      <c r="N169" s="23"/>
      <c r="O169" s="23"/>
      <c r="P169" s="23"/>
      <c r="Q169" s="23"/>
      <c r="R169" s="23">
        <f>G169+K169+L169+O169</f>
        <v>20000</v>
      </c>
      <c r="S169" s="25">
        <f t="shared" si="79"/>
        <v>240000</v>
      </c>
    </row>
    <row r="170" spans="1:20" x14ac:dyDescent="0.25">
      <c r="A170" s="20" t="s">
        <v>256</v>
      </c>
      <c r="B170" s="21" t="s">
        <v>212</v>
      </c>
      <c r="C170" s="22">
        <v>1</v>
      </c>
      <c r="D170" s="22">
        <v>10</v>
      </c>
      <c r="E170" s="23">
        <v>5815</v>
      </c>
      <c r="F170" s="22"/>
      <c r="G170" s="23">
        <f t="shared" si="77"/>
        <v>5815</v>
      </c>
      <c r="H170" s="23"/>
      <c r="I170" s="23"/>
      <c r="J170" s="23"/>
      <c r="K170" s="23">
        <f t="shared" si="78"/>
        <v>1744.5</v>
      </c>
      <c r="L170" s="23">
        <f>13500-G170-K170</f>
        <v>5940.5</v>
      </c>
      <c r="M170" s="23"/>
      <c r="N170" s="23"/>
      <c r="O170" s="23"/>
      <c r="P170" s="23"/>
      <c r="Q170" s="23"/>
      <c r="R170" s="23">
        <f>G170+K170+L170</f>
        <v>13500</v>
      </c>
      <c r="S170" s="25">
        <f t="shared" si="79"/>
        <v>162000</v>
      </c>
    </row>
    <row r="171" spans="1:20" x14ac:dyDescent="0.25">
      <c r="A171" s="20" t="s">
        <v>257</v>
      </c>
      <c r="B171" s="21" t="s">
        <v>235</v>
      </c>
      <c r="C171" s="22">
        <v>2</v>
      </c>
      <c r="D171" s="22">
        <v>10</v>
      </c>
      <c r="E171" s="23">
        <f>5815*C171</f>
        <v>11630</v>
      </c>
      <c r="F171" s="22"/>
      <c r="G171" s="23">
        <f t="shared" si="77"/>
        <v>11630</v>
      </c>
      <c r="H171" s="23"/>
      <c r="I171" s="23"/>
      <c r="J171" s="23"/>
      <c r="K171" s="23">
        <f t="shared" si="78"/>
        <v>3489</v>
      </c>
      <c r="L171" s="23">
        <f>13500*C171-G171-K171</f>
        <v>11881</v>
      </c>
      <c r="M171" s="23"/>
      <c r="N171" s="23"/>
      <c r="O171" s="23"/>
      <c r="P171" s="23"/>
      <c r="Q171" s="23"/>
      <c r="R171" s="23">
        <f t="shared" ref="R171" si="80">G171+K171+L171</f>
        <v>27000</v>
      </c>
      <c r="S171" s="25">
        <f t="shared" si="79"/>
        <v>324000</v>
      </c>
    </row>
    <row r="172" spans="1:20" x14ac:dyDescent="0.25">
      <c r="A172" s="20" t="s">
        <v>258</v>
      </c>
      <c r="B172" s="21" t="s">
        <v>134</v>
      </c>
      <c r="C172" s="22">
        <v>1</v>
      </c>
      <c r="D172" s="22">
        <v>3</v>
      </c>
      <c r="E172" s="23">
        <v>3770</v>
      </c>
      <c r="F172" s="22"/>
      <c r="G172" s="23">
        <f t="shared" si="77"/>
        <v>3770</v>
      </c>
      <c r="H172" s="23"/>
      <c r="I172" s="23">
        <f>G172*0.1</f>
        <v>377</v>
      </c>
      <c r="J172" s="23"/>
      <c r="K172" s="23"/>
      <c r="L172" s="23"/>
      <c r="M172" s="23"/>
      <c r="N172" s="23"/>
      <c r="O172" s="23"/>
      <c r="P172" s="23">
        <f>8000-G172</f>
        <v>4230</v>
      </c>
      <c r="Q172" s="23"/>
      <c r="R172" s="23">
        <f>G172+I172+P172</f>
        <v>8377</v>
      </c>
      <c r="S172" s="25">
        <f t="shared" si="79"/>
        <v>100524</v>
      </c>
      <c r="T172" s="53"/>
    </row>
    <row r="173" spans="1:20" s="38" customFormat="1" x14ac:dyDescent="0.25">
      <c r="A173" s="20" t="s">
        <v>260</v>
      </c>
      <c r="B173" s="21" t="s">
        <v>245</v>
      </c>
      <c r="C173" s="22">
        <v>0.5</v>
      </c>
      <c r="D173" s="22">
        <v>5</v>
      </c>
      <c r="E173" s="23">
        <v>2172.5</v>
      </c>
      <c r="F173" s="22"/>
      <c r="G173" s="23">
        <f t="shared" si="77"/>
        <v>2172.5</v>
      </c>
      <c r="H173" s="23"/>
      <c r="I173" s="23"/>
      <c r="J173" s="23"/>
      <c r="K173" s="23"/>
      <c r="L173" s="23"/>
      <c r="M173" s="23"/>
      <c r="N173" s="23"/>
      <c r="O173" s="23"/>
      <c r="P173" s="23">
        <f>8000/2-G173</f>
        <v>1827.5</v>
      </c>
      <c r="Q173" s="23"/>
      <c r="R173" s="23">
        <f>SUM(G173:Q173)</f>
        <v>4000</v>
      </c>
      <c r="S173" s="25">
        <f t="shared" si="79"/>
        <v>48000</v>
      </c>
    </row>
    <row r="174" spans="1:20" s="49" customFormat="1" ht="21.6" customHeight="1" thickBot="1" x14ac:dyDescent="0.3">
      <c r="A174" s="64"/>
      <c r="B174" s="47" t="s">
        <v>59</v>
      </c>
      <c r="C174" s="34">
        <f>SUM(C167:C173)</f>
        <v>7</v>
      </c>
      <c r="D174" s="34"/>
      <c r="E174" s="35">
        <f>SUM(E167:E173)</f>
        <v>41040</v>
      </c>
      <c r="F174" s="34">
        <f>SUM(F167:F173)</f>
        <v>773.2</v>
      </c>
      <c r="G174" s="35">
        <f t="shared" si="77"/>
        <v>41813.199999999997</v>
      </c>
      <c r="H174" s="35"/>
      <c r="I174" s="35">
        <f>SUM(I172:I173)</f>
        <v>377</v>
      </c>
      <c r="J174" s="35"/>
      <c r="K174" s="35">
        <f>SUM(K167:K173)</f>
        <v>10761.21</v>
      </c>
      <c r="L174" s="35">
        <f>SUM(L167:L173)</f>
        <v>43868.09</v>
      </c>
      <c r="M174" s="35"/>
      <c r="N174" s="35"/>
      <c r="O174" s="35">
        <f>SUM(O167:O173)</f>
        <v>0</v>
      </c>
      <c r="P174" s="35">
        <f>SUM(P167:P173)</f>
        <v>6057.5</v>
      </c>
      <c r="Q174" s="35"/>
      <c r="R174" s="35">
        <f>SUM(R167:R173)</f>
        <v>102877</v>
      </c>
      <c r="S174" s="36">
        <f>SUM(S167:S173)</f>
        <v>1234524</v>
      </c>
    </row>
    <row r="175" spans="1:20" s="13" customFormat="1" ht="18" customHeight="1" x14ac:dyDescent="0.2">
      <c r="A175" s="18"/>
      <c r="B175" s="55" t="s">
        <v>259</v>
      </c>
      <c r="C175" s="85"/>
      <c r="D175" s="85"/>
      <c r="E175" s="94"/>
      <c r="F175" s="85"/>
      <c r="G175" s="94"/>
      <c r="H175" s="94"/>
      <c r="I175" s="94"/>
      <c r="J175" s="94"/>
      <c r="K175" s="94"/>
      <c r="L175" s="94"/>
      <c r="M175" s="94"/>
      <c r="N175" s="94"/>
      <c r="O175" s="94"/>
      <c r="P175" s="94"/>
      <c r="Q175" s="94"/>
      <c r="R175" s="94"/>
      <c r="S175" s="110"/>
    </row>
    <row r="176" spans="1:20" s="13" customFormat="1" x14ac:dyDescent="0.25">
      <c r="A176" s="20" t="s">
        <v>261</v>
      </c>
      <c r="B176" s="21" t="s">
        <v>206</v>
      </c>
      <c r="C176" s="22">
        <v>1</v>
      </c>
      <c r="D176" s="22">
        <v>14</v>
      </c>
      <c r="E176" s="23">
        <f>7732*C176</f>
        <v>7732</v>
      </c>
      <c r="F176" s="22">
        <f>E176*0.1</f>
        <v>773.2</v>
      </c>
      <c r="G176" s="23">
        <f t="shared" ref="G176:G179" si="81">E176+F176</f>
        <v>8505.2000000000007</v>
      </c>
      <c r="H176" s="23"/>
      <c r="I176" s="23"/>
      <c r="J176" s="23"/>
      <c r="K176" s="23"/>
      <c r="L176" s="23">
        <f>20000*C176-G176</f>
        <v>11494.8</v>
      </c>
      <c r="M176" s="23"/>
      <c r="N176" s="23"/>
      <c r="O176" s="23"/>
      <c r="P176" s="23"/>
      <c r="Q176" s="23"/>
      <c r="R176" s="23">
        <f>SUM(G176:Q176)</f>
        <v>20000</v>
      </c>
      <c r="S176" s="25">
        <f>R176*12</f>
        <v>240000</v>
      </c>
    </row>
    <row r="177" spans="1:20" x14ac:dyDescent="0.25">
      <c r="A177" s="20" t="s">
        <v>262</v>
      </c>
      <c r="B177" s="21" t="s">
        <v>235</v>
      </c>
      <c r="C177" s="22">
        <v>1</v>
      </c>
      <c r="D177" s="22">
        <v>10</v>
      </c>
      <c r="E177" s="23">
        <v>5815</v>
      </c>
      <c r="F177" s="22"/>
      <c r="G177" s="23">
        <f t="shared" si="81"/>
        <v>5815</v>
      </c>
      <c r="H177" s="23"/>
      <c r="I177" s="23"/>
      <c r="J177" s="23"/>
      <c r="K177" s="23">
        <f>G177*0.3</f>
        <v>1744.5</v>
      </c>
      <c r="L177" s="23">
        <f>13500-G177-K177</f>
        <v>5940.5</v>
      </c>
      <c r="M177" s="23"/>
      <c r="N177" s="23"/>
      <c r="O177" s="23"/>
      <c r="P177" s="23"/>
      <c r="Q177" s="23"/>
      <c r="R177" s="23">
        <f>G177+K177+L177</f>
        <v>13500</v>
      </c>
      <c r="S177" s="25">
        <f t="shared" ref="S177:S178" si="82">R177*12</f>
        <v>162000</v>
      </c>
      <c r="T177" s="53"/>
    </row>
    <row r="178" spans="1:20" s="38" customFormat="1" x14ac:dyDescent="0.25">
      <c r="A178" s="20" t="s">
        <v>264</v>
      </c>
      <c r="B178" s="21" t="s">
        <v>134</v>
      </c>
      <c r="C178" s="22">
        <v>1</v>
      </c>
      <c r="D178" s="22">
        <v>3</v>
      </c>
      <c r="E178" s="23">
        <v>3770</v>
      </c>
      <c r="F178" s="22"/>
      <c r="G178" s="23">
        <f t="shared" si="81"/>
        <v>3770</v>
      </c>
      <c r="H178" s="23"/>
      <c r="I178" s="23">
        <f>G178*0.1</f>
        <v>377</v>
      </c>
      <c r="J178" s="23"/>
      <c r="K178" s="23"/>
      <c r="L178" s="23"/>
      <c r="M178" s="23"/>
      <c r="N178" s="23"/>
      <c r="O178" s="23"/>
      <c r="P178" s="23">
        <f>8000-G178</f>
        <v>4230</v>
      </c>
      <c r="Q178" s="23"/>
      <c r="R178" s="23">
        <f>G178+I178+P178</f>
        <v>8377</v>
      </c>
      <c r="S178" s="25">
        <f t="shared" si="82"/>
        <v>100524</v>
      </c>
    </row>
    <row r="179" spans="1:20" s="49" customFormat="1" ht="21" customHeight="1" thickBot="1" x14ac:dyDescent="0.3">
      <c r="A179" s="64"/>
      <c r="B179" s="47" t="s">
        <v>59</v>
      </c>
      <c r="C179" s="34">
        <f>SUM(C176:C178)</f>
        <v>3</v>
      </c>
      <c r="D179" s="34"/>
      <c r="E179" s="35">
        <f>SUM(E176:E178)</f>
        <v>17317</v>
      </c>
      <c r="F179" s="34">
        <f>SUM(F176:F178)</f>
        <v>773.2</v>
      </c>
      <c r="G179" s="35">
        <f t="shared" si="81"/>
        <v>18090.2</v>
      </c>
      <c r="H179" s="35"/>
      <c r="I179" s="35">
        <f>SUM(I178)</f>
        <v>377</v>
      </c>
      <c r="J179" s="35"/>
      <c r="K179" s="35">
        <f>K177</f>
        <v>1744.5</v>
      </c>
      <c r="L179" s="35">
        <f>L176+L177</f>
        <v>17435.3</v>
      </c>
      <c r="M179" s="35">
        <f>M176</f>
        <v>0</v>
      </c>
      <c r="N179" s="35"/>
      <c r="O179" s="35"/>
      <c r="P179" s="35">
        <f>SUM(P178)</f>
        <v>4230</v>
      </c>
      <c r="Q179" s="35"/>
      <c r="R179" s="35">
        <f>SUM(R176:R178)</f>
        <v>41877</v>
      </c>
      <c r="S179" s="36">
        <f>SUM(S176:S178)</f>
        <v>502524</v>
      </c>
    </row>
    <row r="180" spans="1:20" ht="15" customHeight="1" x14ac:dyDescent="0.25">
      <c r="A180" s="15"/>
      <c r="B180" s="55" t="s">
        <v>312</v>
      </c>
      <c r="C180" s="85"/>
      <c r="D180" s="85"/>
      <c r="E180" s="94"/>
      <c r="F180" s="85"/>
      <c r="G180" s="94"/>
      <c r="H180" s="94"/>
      <c r="I180" s="94"/>
      <c r="J180" s="94"/>
      <c r="K180" s="94"/>
      <c r="L180" s="94"/>
      <c r="M180" s="94"/>
      <c r="N180" s="94"/>
      <c r="O180" s="94"/>
      <c r="P180" s="94"/>
      <c r="Q180" s="94"/>
      <c r="R180" s="94"/>
      <c r="S180" s="110"/>
    </row>
    <row r="181" spans="1:20" ht="19.8" customHeight="1" x14ac:dyDescent="0.25">
      <c r="A181" s="20"/>
      <c r="B181" s="44" t="s">
        <v>263</v>
      </c>
      <c r="C181" s="22"/>
      <c r="D181" s="22"/>
      <c r="E181" s="23"/>
      <c r="F181" s="22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5"/>
    </row>
    <row r="182" spans="1:20" x14ac:dyDescent="0.25">
      <c r="A182" s="20" t="s">
        <v>264</v>
      </c>
      <c r="B182" s="21" t="s">
        <v>220</v>
      </c>
      <c r="C182" s="22">
        <v>0.5</v>
      </c>
      <c r="D182" s="22">
        <v>10</v>
      </c>
      <c r="E182" s="23">
        <v>2907.5</v>
      </c>
      <c r="F182" s="22"/>
      <c r="G182" s="23">
        <f t="shared" ref="G182:G185" si="83">E182+F182</f>
        <v>2907.5</v>
      </c>
      <c r="H182" s="23"/>
      <c r="I182" s="23"/>
      <c r="J182" s="23"/>
      <c r="K182" s="23">
        <f>G182*0.3</f>
        <v>872.25</v>
      </c>
      <c r="L182" s="23">
        <f>R182-K182-G182</f>
        <v>2970.25</v>
      </c>
      <c r="M182" s="23"/>
      <c r="N182" s="23"/>
      <c r="O182" s="23"/>
      <c r="P182" s="23"/>
      <c r="Q182" s="23"/>
      <c r="R182" s="23">
        <v>6750</v>
      </c>
      <c r="S182" s="25">
        <f>R182*12</f>
        <v>81000</v>
      </c>
    </row>
    <row r="183" spans="1:20" x14ac:dyDescent="0.25">
      <c r="A183" s="20" t="s">
        <v>265</v>
      </c>
      <c r="B183" s="21" t="s">
        <v>134</v>
      </c>
      <c r="C183" s="22">
        <v>0.25</v>
      </c>
      <c r="D183" s="22">
        <v>3</v>
      </c>
      <c r="E183" s="23">
        <v>942.5</v>
      </c>
      <c r="F183" s="22"/>
      <c r="G183" s="23">
        <f t="shared" si="83"/>
        <v>942.5</v>
      </c>
      <c r="H183" s="23"/>
      <c r="I183" s="23">
        <f>G183*0.1</f>
        <v>94.25</v>
      </c>
      <c r="J183" s="23"/>
      <c r="K183" s="23"/>
      <c r="L183" s="23"/>
      <c r="M183" s="23"/>
      <c r="N183" s="23"/>
      <c r="O183" s="23"/>
      <c r="P183" s="23">
        <f>8000*0.25-G183</f>
        <v>1057.5</v>
      </c>
      <c r="Q183" s="23"/>
      <c r="R183" s="23">
        <f>E183+I183+P183</f>
        <v>2094.25</v>
      </c>
      <c r="S183" s="25">
        <f>R183*12</f>
        <v>25131</v>
      </c>
    </row>
    <row r="184" spans="1:20" s="38" customFormat="1" x14ac:dyDescent="0.25">
      <c r="A184" s="20" t="s">
        <v>266</v>
      </c>
      <c r="B184" s="21" t="s">
        <v>267</v>
      </c>
      <c r="C184" s="22">
        <v>0.25</v>
      </c>
      <c r="D184" s="22">
        <v>1</v>
      </c>
      <c r="E184" s="23">
        <v>798.75</v>
      </c>
      <c r="F184" s="22"/>
      <c r="G184" s="23">
        <f t="shared" si="83"/>
        <v>798.75</v>
      </c>
      <c r="H184" s="23"/>
      <c r="I184" s="23"/>
      <c r="J184" s="23"/>
      <c r="K184" s="23"/>
      <c r="L184" s="23"/>
      <c r="M184" s="23"/>
      <c r="N184" s="23"/>
      <c r="O184" s="23"/>
      <c r="P184" s="23">
        <f>8000*0.25-G184</f>
        <v>1201.25</v>
      </c>
      <c r="Q184" s="23"/>
      <c r="R184" s="23">
        <f>E184+P184</f>
        <v>2000</v>
      </c>
      <c r="S184" s="25">
        <f>R184*6</f>
        <v>12000</v>
      </c>
    </row>
    <row r="185" spans="1:20" s="27" customFormat="1" ht="15" customHeight="1" thickBot="1" x14ac:dyDescent="0.3">
      <c r="A185" s="112"/>
      <c r="B185" s="113" t="s">
        <v>59</v>
      </c>
      <c r="C185" s="114">
        <f>C182+C183+C184</f>
        <v>1</v>
      </c>
      <c r="D185" s="114"/>
      <c r="E185" s="115">
        <f>E182+E183+E184</f>
        <v>4648.75</v>
      </c>
      <c r="F185" s="114"/>
      <c r="G185" s="115">
        <f t="shared" si="83"/>
        <v>4648.75</v>
      </c>
      <c r="H185" s="115"/>
      <c r="I185" s="115">
        <f>SUM(I183)</f>
        <v>94.25</v>
      </c>
      <c r="J185" s="115"/>
      <c r="K185" s="115">
        <f>SUM(K182:K183)</f>
        <v>872.25</v>
      </c>
      <c r="L185" s="115">
        <f>SUM(L182:L183)</f>
        <v>2970.25</v>
      </c>
      <c r="M185" s="115"/>
      <c r="N185" s="115"/>
      <c r="O185" s="115"/>
      <c r="P185" s="115">
        <f>P183+P184</f>
        <v>2258.75</v>
      </c>
      <c r="Q185" s="115"/>
      <c r="R185" s="115">
        <f>SUM(R182:R184)</f>
        <v>10844.25</v>
      </c>
      <c r="S185" s="116">
        <f>SUM(S182:S184)</f>
        <v>118131</v>
      </c>
    </row>
    <row r="186" spans="1:20" s="13" customFormat="1" ht="20.399999999999999" customHeight="1" x14ac:dyDescent="0.2">
      <c r="A186" s="18"/>
      <c r="B186" s="55" t="s">
        <v>268</v>
      </c>
      <c r="C186" s="85"/>
      <c r="D186" s="85"/>
      <c r="E186" s="94"/>
      <c r="F186" s="85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110"/>
    </row>
    <row r="187" spans="1:20" x14ac:dyDescent="0.25">
      <c r="A187" s="20" t="s">
        <v>269</v>
      </c>
      <c r="B187" s="21" t="s">
        <v>220</v>
      </c>
      <c r="C187" s="22">
        <v>0.5</v>
      </c>
      <c r="D187" s="22">
        <v>9</v>
      </c>
      <c r="E187" s="23">
        <v>2763.5</v>
      </c>
      <c r="F187" s="22"/>
      <c r="G187" s="23">
        <f t="shared" ref="G187:G190" si="84">E187+F187</f>
        <v>2763.5</v>
      </c>
      <c r="H187" s="23"/>
      <c r="I187" s="23"/>
      <c r="J187" s="23"/>
      <c r="K187" s="23">
        <f>G187*0.3</f>
        <v>829.05</v>
      </c>
      <c r="L187" s="23">
        <f>6750-G187-K187</f>
        <v>3157.45</v>
      </c>
      <c r="M187" s="23"/>
      <c r="N187" s="23"/>
      <c r="O187" s="23"/>
      <c r="P187" s="23"/>
      <c r="Q187" s="23"/>
      <c r="R187" s="23">
        <f>G187+K187+L187</f>
        <v>6750</v>
      </c>
      <c r="S187" s="25">
        <f>R187*12</f>
        <v>81000</v>
      </c>
    </row>
    <row r="188" spans="1:20" x14ac:dyDescent="0.25">
      <c r="A188" s="20" t="s">
        <v>270</v>
      </c>
      <c r="B188" s="21" t="s">
        <v>134</v>
      </c>
      <c r="C188" s="22">
        <v>0.25</v>
      </c>
      <c r="D188" s="22">
        <v>3</v>
      </c>
      <c r="E188" s="23">
        <v>942.5</v>
      </c>
      <c r="F188" s="22"/>
      <c r="G188" s="23">
        <f t="shared" si="84"/>
        <v>942.5</v>
      </c>
      <c r="H188" s="23"/>
      <c r="I188" s="23">
        <f>G188*0.1</f>
        <v>94.25</v>
      </c>
      <c r="J188" s="23"/>
      <c r="K188" s="23"/>
      <c r="L188" s="23"/>
      <c r="M188" s="23"/>
      <c r="N188" s="23"/>
      <c r="O188" s="23"/>
      <c r="P188" s="23">
        <f>8000*0.25-G188</f>
        <v>1057.5</v>
      </c>
      <c r="Q188" s="23"/>
      <c r="R188" s="23">
        <f>E188+I188+P188</f>
        <v>2094.25</v>
      </c>
      <c r="S188" s="25">
        <f>R188*12</f>
        <v>25131</v>
      </c>
    </row>
    <row r="189" spans="1:20" s="38" customFormat="1" x14ac:dyDescent="0.25">
      <c r="A189" s="20" t="s">
        <v>271</v>
      </c>
      <c r="B189" s="21" t="s">
        <v>227</v>
      </c>
      <c r="C189" s="22">
        <v>0.5</v>
      </c>
      <c r="D189" s="22">
        <v>1</v>
      </c>
      <c r="E189" s="23">
        <v>1597.5</v>
      </c>
      <c r="F189" s="22"/>
      <c r="G189" s="23">
        <f t="shared" si="84"/>
        <v>1597.5</v>
      </c>
      <c r="H189" s="23"/>
      <c r="I189" s="23"/>
      <c r="J189" s="23"/>
      <c r="K189" s="23"/>
      <c r="L189" s="23"/>
      <c r="M189" s="23"/>
      <c r="N189" s="23"/>
      <c r="O189" s="23"/>
      <c r="P189" s="23">
        <f>8000/2-G189</f>
        <v>2402.5</v>
      </c>
      <c r="Q189" s="23"/>
      <c r="R189" s="23">
        <f>E189+P189</f>
        <v>4000</v>
      </c>
      <c r="S189" s="25">
        <f>R189*6</f>
        <v>24000</v>
      </c>
    </row>
    <row r="190" spans="1:20" s="27" customFormat="1" ht="18.75" customHeight="1" thickBot="1" x14ac:dyDescent="0.3">
      <c r="A190" s="64"/>
      <c r="B190" s="47" t="s">
        <v>59</v>
      </c>
      <c r="C190" s="34">
        <f>C187+C188+C189</f>
        <v>1.25</v>
      </c>
      <c r="D190" s="34"/>
      <c r="E190" s="35">
        <f>E187+E188+E189</f>
        <v>5303.5</v>
      </c>
      <c r="F190" s="34"/>
      <c r="G190" s="35">
        <f t="shared" si="84"/>
        <v>5303.5</v>
      </c>
      <c r="H190" s="35"/>
      <c r="I190" s="35">
        <f>SUM(I187:I188)</f>
        <v>94.25</v>
      </c>
      <c r="J190" s="35"/>
      <c r="K190" s="35">
        <f>SUM(K187:K189)</f>
        <v>829.05</v>
      </c>
      <c r="L190" s="35">
        <f>SUM(L186:L188)</f>
        <v>3157.45</v>
      </c>
      <c r="M190" s="35"/>
      <c r="N190" s="35"/>
      <c r="O190" s="35"/>
      <c r="P190" s="35">
        <f>P188+P189</f>
        <v>3460</v>
      </c>
      <c r="Q190" s="35"/>
      <c r="R190" s="35">
        <f>SUM(R187:R189)</f>
        <v>12844.25</v>
      </c>
      <c r="S190" s="36">
        <f>SUM(S187:S189)</f>
        <v>130131</v>
      </c>
    </row>
    <row r="191" spans="1:20" ht="22.8" customHeight="1" x14ac:dyDescent="0.25">
      <c r="A191" s="57"/>
      <c r="B191" s="111" t="s">
        <v>272</v>
      </c>
      <c r="C191" s="91"/>
      <c r="D191" s="91"/>
      <c r="E191" s="51"/>
      <c r="F191" s="9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97"/>
      <c r="T191" s="65"/>
    </row>
    <row r="192" spans="1:20" x14ac:dyDescent="0.25">
      <c r="A192" s="20" t="s">
        <v>273</v>
      </c>
      <c r="B192" s="21" t="s">
        <v>130</v>
      </c>
      <c r="C192" s="22">
        <v>1</v>
      </c>
      <c r="D192" s="22">
        <v>10</v>
      </c>
      <c r="E192" s="23">
        <v>5815</v>
      </c>
      <c r="F192" s="22"/>
      <c r="G192" s="23">
        <f t="shared" ref="G192:G195" si="85">E192+F192</f>
        <v>5815</v>
      </c>
      <c r="H192" s="23"/>
      <c r="I192" s="23"/>
      <c r="J192" s="23"/>
      <c r="K192" s="23">
        <f>G192*0.3</f>
        <v>1744.5</v>
      </c>
      <c r="L192" s="23">
        <f>13500-G192-K192</f>
        <v>5940.5</v>
      </c>
      <c r="M192" s="23"/>
      <c r="N192" s="23"/>
      <c r="O192" s="23"/>
      <c r="P192" s="23"/>
      <c r="Q192" s="23"/>
      <c r="R192" s="23">
        <f>G192+K192+L192</f>
        <v>13500</v>
      </c>
      <c r="S192" s="25">
        <f>R192*12</f>
        <v>162000</v>
      </c>
    </row>
    <row r="193" spans="1:19" x14ac:dyDescent="0.25">
      <c r="A193" s="20" t="s">
        <v>274</v>
      </c>
      <c r="B193" s="21" t="s">
        <v>134</v>
      </c>
      <c r="C193" s="22">
        <v>0.25</v>
      </c>
      <c r="D193" s="22">
        <v>3</v>
      </c>
      <c r="E193" s="23">
        <v>942.5</v>
      </c>
      <c r="F193" s="22"/>
      <c r="G193" s="23">
        <f t="shared" si="85"/>
        <v>942.5</v>
      </c>
      <c r="H193" s="23"/>
      <c r="I193" s="23">
        <f>G193*0.1</f>
        <v>94.25</v>
      </c>
      <c r="J193" s="23"/>
      <c r="K193" s="23"/>
      <c r="L193" s="23"/>
      <c r="M193" s="23"/>
      <c r="N193" s="23"/>
      <c r="O193" s="23"/>
      <c r="P193" s="23">
        <f>8000*0.25-G193</f>
        <v>1057.5</v>
      </c>
      <c r="Q193" s="23"/>
      <c r="R193" s="23">
        <f>E193+I193+P193</f>
        <v>2094.25</v>
      </c>
      <c r="S193" s="25">
        <f>R193*12</f>
        <v>25131</v>
      </c>
    </row>
    <row r="194" spans="1:19" s="38" customFormat="1" x14ac:dyDescent="0.25">
      <c r="A194" s="20" t="s">
        <v>275</v>
      </c>
      <c r="B194" s="21" t="s">
        <v>267</v>
      </c>
      <c r="C194" s="22">
        <v>0.25</v>
      </c>
      <c r="D194" s="22">
        <v>1</v>
      </c>
      <c r="E194" s="23">
        <v>798.75</v>
      </c>
      <c r="F194" s="22"/>
      <c r="G194" s="23">
        <f t="shared" si="85"/>
        <v>798.75</v>
      </c>
      <c r="H194" s="23"/>
      <c r="I194" s="23"/>
      <c r="J194" s="23"/>
      <c r="K194" s="23"/>
      <c r="L194" s="23"/>
      <c r="M194" s="23"/>
      <c r="N194" s="23"/>
      <c r="O194" s="23"/>
      <c r="P194" s="23">
        <f>8000*0.25-G194</f>
        <v>1201.25</v>
      </c>
      <c r="Q194" s="23"/>
      <c r="R194" s="23">
        <f>E194+P194</f>
        <v>2000</v>
      </c>
      <c r="S194" s="25">
        <f>R194*6</f>
        <v>12000</v>
      </c>
    </row>
    <row r="195" spans="1:19" s="27" customFormat="1" ht="13.8" thickBot="1" x14ac:dyDescent="0.3">
      <c r="A195" s="64"/>
      <c r="B195" s="47" t="s">
        <v>59</v>
      </c>
      <c r="C195" s="34">
        <f>SUM(C192:C194)</f>
        <v>1.5</v>
      </c>
      <c r="D195" s="34"/>
      <c r="E195" s="35">
        <f>SUM(E192:E194)</f>
        <v>7556.25</v>
      </c>
      <c r="F195" s="34">
        <f>SUM(F192:F194)</f>
        <v>0</v>
      </c>
      <c r="G195" s="35">
        <f t="shared" si="85"/>
        <v>7556.25</v>
      </c>
      <c r="H195" s="35"/>
      <c r="I195" s="35">
        <f>SUM(I193:I194)</f>
        <v>94.25</v>
      </c>
      <c r="J195" s="35"/>
      <c r="K195" s="35">
        <f>SUM(K192:K194)</f>
        <v>1744.5</v>
      </c>
      <c r="L195" s="35">
        <f>SUM(L192:L194)</f>
        <v>5940.5</v>
      </c>
      <c r="M195" s="35"/>
      <c r="N195" s="35"/>
      <c r="O195" s="35"/>
      <c r="P195" s="35">
        <f>P193+P194</f>
        <v>2258.75</v>
      </c>
      <c r="Q195" s="35"/>
      <c r="R195" s="35">
        <f>SUM(R192:R194)</f>
        <v>17594.25</v>
      </c>
      <c r="S195" s="36">
        <f>SUM(S192:S194)</f>
        <v>199131</v>
      </c>
    </row>
    <row r="196" spans="1:19" ht="22.2" customHeight="1" x14ac:dyDescent="0.25">
      <c r="A196" s="15"/>
      <c r="B196" s="55" t="s">
        <v>276</v>
      </c>
      <c r="C196" s="85"/>
      <c r="D196" s="85"/>
      <c r="E196" s="94"/>
      <c r="F196" s="85"/>
      <c r="G196" s="94"/>
      <c r="H196" s="94"/>
      <c r="I196" s="94"/>
      <c r="J196" s="94"/>
      <c r="K196" s="94"/>
      <c r="L196" s="94"/>
      <c r="M196" s="94"/>
      <c r="N196" s="94"/>
      <c r="O196" s="94"/>
      <c r="P196" s="94"/>
      <c r="Q196" s="94"/>
      <c r="R196" s="94"/>
      <c r="S196" s="110"/>
    </row>
    <row r="197" spans="1:19" x14ac:dyDescent="0.25">
      <c r="A197" s="20" t="s">
        <v>277</v>
      </c>
      <c r="B197" s="21" t="s">
        <v>220</v>
      </c>
      <c r="C197" s="22">
        <v>1</v>
      </c>
      <c r="D197" s="22">
        <v>10</v>
      </c>
      <c r="E197" s="23">
        <v>5815</v>
      </c>
      <c r="F197" s="22"/>
      <c r="G197" s="23">
        <f t="shared" ref="G197:G200" si="86">E197+F197</f>
        <v>5815</v>
      </c>
      <c r="H197" s="23"/>
      <c r="I197" s="23"/>
      <c r="J197" s="23"/>
      <c r="K197" s="23">
        <f>G197*0.3</f>
        <v>1744.5</v>
      </c>
      <c r="L197" s="23">
        <f>13500-G197-K197</f>
        <v>5940.5</v>
      </c>
      <c r="M197" s="23"/>
      <c r="N197" s="23"/>
      <c r="O197" s="23"/>
      <c r="P197" s="23"/>
      <c r="Q197" s="23"/>
      <c r="R197" s="23">
        <f>G197+K197+L197</f>
        <v>13500</v>
      </c>
      <c r="S197" s="25">
        <f>R197*12</f>
        <v>162000</v>
      </c>
    </row>
    <row r="198" spans="1:19" x14ac:dyDescent="0.25">
      <c r="A198" s="20" t="s">
        <v>278</v>
      </c>
      <c r="B198" s="21" t="s">
        <v>134</v>
      </c>
      <c r="C198" s="22">
        <v>0.25</v>
      </c>
      <c r="D198" s="22">
        <v>3</v>
      </c>
      <c r="E198" s="23">
        <v>942.5</v>
      </c>
      <c r="F198" s="22"/>
      <c r="G198" s="23">
        <f t="shared" si="86"/>
        <v>942.5</v>
      </c>
      <c r="H198" s="23"/>
      <c r="I198" s="23">
        <f>G198*0.1</f>
        <v>94.25</v>
      </c>
      <c r="J198" s="23"/>
      <c r="K198" s="23"/>
      <c r="L198" s="23"/>
      <c r="M198" s="23"/>
      <c r="N198" s="23"/>
      <c r="O198" s="23"/>
      <c r="P198" s="23">
        <f>8000*0.25-G198</f>
        <v>1057.5</v>
      </c>
      <c r="Q198" s="23"/>
      <c r="R198" s="23">
        <f>E198+I198+P198</f>
        <v>2094.25</v>
      </c>
      <c r="S198" s="25">
        <f>R198*12</f>
        <v>25131</v>
      </c>
    </row>
    <row r="199" spans="1:19" s="38" customFormat="1" x14ac:dyDescent="0.25">
      <c r="A199" s="20" t="s">
        <v>279</v>
      </c>
      <c r="B199" s="21" t="s">
        <v>267</v>
      </c>
      <c r="C199" s="22">
        <v>0.25</v>
      </c>
      <c r="D199" s="22">
        <v>1</v>
      </c>
      <c r="E199" s="23">
        <v>798.75</v>
      </c>
      <c r="F199" s="22"/>
      <c r="G199" s="23">
        <f t="shared" si="86"/>
        <v>798.75</v>
      </c>
      <c r="H199" s="23"/>
      <c r="I199" s="23"/>
      <c r="J199" s="23"/>
      <c r="K199" s="23"/>
      <c r="L199" s="23"/>
      <c r="M199" s="23"/>
      <c r="N199" s="23"/>
      <c r="O199" s="23"/>
      <c r="P199" s="23">
        <f>8000*0.25-G199</f>
        <v>1201.25</v>
      </c>
      <c r="Q199" s="23"/>
      <c r="R199" s="23">
        <f>E199+P199</f>
        <v>2000</v>
      </c>
      <c r="S199" s="25">
        <f>R199*6</f>
        <v>12000</v>
      </c>
    </row>
    <row r="200" spans="1:19" s="27" customFormat="1" ht="13.8" thickBot="1" x14ac:dyDescent="0.3">
      <c r="A200" s="64"/>
      <c r="B200" s="47" t="s">
        <v>59</v>
      </c>
      <c r="C200" s="34">
        <f>SUM(C197:C199)</f>
        <v>1.5</v>
      </c>
      <c r="D200" s="34"/>
      <c r="E200" s="35">
        <f>SUM(E197:E199)</f>
        <v>7556.25</v>
      </c>
      <c r="F200" s="34">
        <f>SUM(F197:F199)</f>
        <v>0</v>
      </c>
      <c r="G200" s="35">
        <f t="shared" si="86"/>
        <v>7556.25</v>
      </c>
      <c r="H200" s="35"/>
      <c r="I200" s="35">
        <f>SUM(I198:I199)</f>
        <v>94.25</v>
      </c>
      <c r="J200" s="35"/>
      <c r="K200" s="35">
        <f>K197</f>
        <v>1744.5</v>
      </c>
      <c r="L200" s="35">
        <f>SUM(L197:L199)</f>
        <v>5940.5</v>
      </c>
      <c r="M200" s="35"/>
      <c r="N200" s="35"/>
      <c r="O200" s="35"/>
      <c r="P200" s="35">
        <f>P198+P199</f>
        <v>2258.75</v>
      </c>
      <c r="Q200" s="35"/>
      <c r="R200" s="35">
        <f>SUM(R197:R199)</f>
        <v>17594.25</v>
      </c>
      <c r="S200" s="36">
        <f>SUM(S197:S199)</f>
        <v>199131</v>
      </c>
    </row>
    <row r="201" spans="1:19" ht="24" customHeight="1" x14ac:dyDescent="0.25">
      <c r="A201" s="15"/>
      <c r="B201" s="55" t="s">
        <v>280</v>
      </c>
      <c r="C201" s="85"/>
      <c r="D201" s="85"/>
      <c r="E201" s="94"/>
      <c r="F201" s="85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110"/>
    </row>
    <row r="202" spans="1:19" x14ac:dyDescent="0.25">
      <c r="A202" s="20" t="s">
        <v>281</v>
      </c>
      <c r="B202" s="21" t="s">
        <v>130</v>
      </c>
      <c r="C202" s="22">
        <v>0.5</v>
      </c>
      <c r="D202" s="22">
        <v>8</v>
      </c>
      <c r="E202" s="23">
        <v>2620</v>
      </c>
      <c r="F202" s="22"/>
      <c r="G202" s="23">
        <f t="shared" ref="G202:G204" si="87">E202+F202</f>
        <v>2620</v>
      </c>
      <c r="H202" s="23"/>
      <c r="I202" s="23"/>
      <c r="J202" s="23"/>
      <c r="K202" s="23">
        <f>G202*0.3</f>
        <v>786</v>
      </c>
      <c r="L202" s="23">
        <f>R202-K202-G202</f>
        <v>3344</v>
      </c>
      <c r="M202" s="23"/>
      <c r="N202" s="23"/>
      <c r="O202" s="23"/>
      <c r="P202" s="23"/>
      <c r="Q202" s="23"/>
      <c r="R202" s="23">
        <v>6750</v>
      </c>
      <c r="S202" s="25">
        <f>R202*12</f>
        <v>81000</v>
      </c>
    </row>
    <row r="203" spans="1:19" s="38" customFormat="1" x14ac:dyDescent="0.25">
      <c r="A203" s="20" t="s">
        <v>282</v>
      </c>
      <c r="B203" s="21" t="s">
        <v>134</v>
      </c>
      <c r="C203" s="22">
        <v>0.5</v>
      </c>
      <c r="D203" s="22">
        <v>3</v>
      </c>
      <c r="E203" s="23">
        <v>1885</v>
      </c>
      <c r="F203" s="22"/>
      <c r="G203" s="23">
        <f t="shared" si="87"/>
        <v>1885</v>
      </c>
      <c r="H203" s="23"/>
      <c r="I203" s="23">
        <f>G203*0.1</f>
        <v>188.5</v>
      </c>
      <c r="J203" s="23"/>
      <c r="K203" s="23"/>
      <c r="L203" s="23"/>
      <c r="M203" s="23"/>
      <c r="N203" s="23"/>
      <c r="O203" s="23"/>
      <c r="P203" s="23">
        <f>8000/2-G203</f>
        <v>2115</v>
      </c>
      <c r="Q203" s="23"/>
      <c r="R203" s="23">
        <f>SUM(G203:Q203)</f>
        <v>4188.5</v>
      </c>
      <c r="S203" s="25">
        <f>R203*12</f>
        <v>50262</v>
      </c>
    </row>
    <row r="204" spans="1:19" s="27" customFormat="1" ht="13.8" thickBot="1" x14ac:dyDescent="0.3">
      <c r="A204" s="64"/>
      <c r="B204" s="47" t="s">
        <v>59</v>
      </c>
      <c r="C204" s="34">
        <f>SUM(C202:C203)</f>
        <v>1</v>
      </c>
      <c r="D204" s="34"/>
      <c r="E204" s="35">
        <f>SUM(E202:E203)</f>
        <v>4505</v>
      </c>
      <c r="F204" s="34">
        <f>SUM(F202:F203)</f>
        <v>0</v>
      </c>
      <c r="G204" s="35">
        <f t="shared" si="87"/>
        <v>4505</v>
      </c>
      <c r="H204" s="35"/>
      <c r="I204" s="35">
        <f>SUM(I203)</f>
        <v>188.5</v>
      </c>
      <c r="J204" s="35"/>
      <c r="K204" s="35">
        <f>SUM(K202:K203)</f>
        <v>786</v>
      </c>
      <c r="L204" s="35">
        <f>SUM(L202:L203)</f>
        <v>3344</v>
      </c>
      <c r="M204" s="35"/>
      <c r="N204" s="35"/>
      <c r="O204" s="35"/>
      <c r="P204" s="35">
        <f>SUM(P203)</f>
        <v>2115</v>
      </c>
      <c r="Q204" s="35"/>
      <c r="R204" s="35">
        <f>SUM(R202:R203)</f>
        <v>10938.5</v>
      </c>
      <c r="S204" s="36">
        <f>SUM(S202:S203)</f>
        <v>131262</v>
      </c>
    </row>
    <row r="205" spans="1:19" ht="18" customHeight="1" x14ac:dyDescent="0.25">
      <c r="A205" s="15"/>
      <c r="B205" s="55" t="s">
        <v>283</v>
      </c>
      <c r="C205" s="85"/>
      <c r="D205" s="85"/>
      <c r="E205" s="94"/>
      <c r="F205" s="85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110"/>
    </row>
    <row r="206" spans="1:19" s="13" customFormat="1" x14ac:dyDescent="0.25">
      <c r="A206" s="20" t="s">
        <v>284</v>
      </c>
      <c r="B206" s="66" t="s">
        <v>130</v>
      </c>
      <c r="C206" s="22">
        <v>0.5</v>
      </c>
      <c r="D206" s="22">
        <v>10</v>
      </c>
      <c r="E206" s="23">
        <v>2907.5</v>
      </c>
      <c r="F206" s="22"/>
      <c r="G206" s="23">
        <f t="shared" ref="G206:G209" si="88">E206+F206</f>
        <v>2907.5</v>
      </c>
      <c r="H206" s="23"/>
      <c r="I206" s="23"/>
      <c r="J206" s="23"/>
      <c r="K206" s="23">
        <f>G206*0.3</f>
        <v>872.25</v>
      </c>
      <c r="L206" s="23">
        <f>13500/2-G206-K206</f>
        <v>2970.25</v>
      </c>
      <c r="M206" s="23"/>
      <c r="N206" s="23"/>
      <c r="O206" s="23"/>
      <c r="P206" s="23"/>
      <c r="Q206" s="23"/>
      <c r="R206" s="23">
        <f>G206+K206+L206</f>
        <v>6750</v>
      </c>
      <c r="S206" s="25">
        <f>R206*12</f>
        <v>81000</v>
      </c>
    </row>
    <row r="207" spans="1:19" x14ac:dyDescent="0.25">
      <c r="A207" s="20" t="s">
        <v>285</v>
      </c>
      <c r="B207" s="21" t="s">
        <v>134</v>
      </c>
      <c r="C207" s="22">
        <v>0.5</v>
      </c>
      <c r="D207" s="22">
        <v>3</v>
      </c>
      <c r="E207" s="23">
        <v>1885</v>
      </c>
      <c r="F207" s="22"/>
      <c r="G207" s="23">
        <f t="shared" si="88"/>
        <v>1885</v>
      </c>
      <c r="H207" s="23"/>
      <c r="I207" s="23">
        <f>G207*0.1</f>
        <v>188.5</v>
      </c>
      <c r="J207" s="23"/>
      <c r="K207" s="23"/>
      <c r="L207" s="23"/>
      <c r="M207" s="23"/>
      <c r="N207" s="23"/>
      <c r="O207" s="23"/>
      <c r="P207" s="23">
        <f>8000/2-G207</f>
        <v>2115</v>
      </c>
      <c r="Q207" s="23"/>
      <c r="R207" s="23">
        <f>SUM(G207:Q207)</f>
        <v>4188.5</v>
      </c>
      <c r="S207" s="25">
        <f>R207*12</f>
        <v>50262</v>
      </c>
    </row>
    <row r="208" spans="1:19" x14ac:dyDescent="0.25">
      <c r="A208" s="20" t="s">
        <v>286</v>
      </c>
      <c r="B208" s="21" t="s">
        <v>227</v>
      </c>
      <c r="C208" s="22">
        <v>1</v>
      </c>
      <c r="D208" s="22">
        <v>1</v>
      </c>
      <c r="E208" s="23">
        <v>3195</v>
      </c>
      <c r="F208" s="22"/>
      <c r="G208" s="23">
        <f t="shared" si="88"/>
        <v>3195</v>
      </c>
      <c r="H208" s="23"/>
      <c r="I208" s="23"/>
      <c r="J208" s="23"/>
      <c r="K208" s="23"/>
      <c r="L208" s="23"/>
      <c r="M208" s="23"/>
      <c r="N208" s="23"/>
      <c r="O208" s="23"/>
      <c r="P208" s="23">
        <f>8000-G208</f>
        <v>4805</v>
      </c>
      <c r="Q208" s="23"/>
      <c r="R208" s="23">
        <f>E208+P208</f>
        <v>8000</v>
      </c>
      <c r="S208" s="25">
        <f>R208*6</f>
        <v>48000</v>
      </c>
    </row>
    <row r="209" spans="1:20" s="49" customFormat="1" ht="16.8" customHeight="1" thickBot="1" x14ac:dyDescent="0.3">
      <c r="A209" s="118"/>
      <c r="B209" s="47" t="s">
        <v>59</v>
      </c>
      <c r="C209" s="34">
        <f>SUM(C206:C208)</f>
        <v>2</v>
      </c>
      <c r="D209" s="34"/>
      <c r="E209" s="35">
        <f>SUM(E206:E208)</f>
        <v>7987.5</v>
      </c>
      <c r="F209" s="34">
        <f>SUM(F206:F208)</f>
        <v>0</v>
      </c>
      <c r="G209" s="35">
        <f t="shared" si="88"/>
        <v>7987.5</v>
      </c>
      <c r="H209" s="35"/>
      <c r="I209" s="35">
        <f>SUM(I207:I208)</f>
        <v>188.5</v>
      </c>
      <c r="J209" s="35"/>
      <c r="K209" s="35">
        <f>SUM(K206:K208)</f>
        <v>872.25</v>
      </c>
      <c r="L209" s="35">
        <f>SUM(L206:L208)</f>
        <v>2970.25</v>
      </c>
      <c r="M209" s="35"/>
      <c r="N209" s="35"/>
      <c r="O209" s="35"/>
      <c r="P209" s="35">
        <f>P207+P208</f>
        <v>6920</v>
      </c>
      <c r="Q209" s="35"/>
      <c r="R209" s="35">
        <f>SUM(R206:R208)</f>
        <v>18938.5</v>
      </c>
      <c r="S209" s="36">
        <f>SUM(S206:S208)</f>
        <v>179262</v>
      </c>
    </row>
    <row r="210" spans="1:20" ht="21" customHeight="1" x14ac:dyDescent="0.25">
      <c r="A210" s="15"/>
      <c r="B210" s="55" t="s">
        <v>287</v>
      </c>
      <c r="C210" s="85"/>
      <c r="D210" s="85"/>
      <c r="E210" s="94"/>
      <c r="F210" s="85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  <c r="R210" s="94"/>
      <c r="S210" s="110"/>
    </row>
    <row r="211" spans="1:20" x14ac:dyDescent="0.25">
      <c r="A211" s="20" t="s">
        <v>288</v>
      </c>
      <c r="B211" s="21" t="s">
        <v>220</v>
      </c>
      <c r="C211" s="22">
        <v>1</v>
      </c>
      <c r="D211" s="22">
        <v>10</v>
      </c>
      <c r="E211" s="23">
        <v>5815</v>
      </c>
      <c r="F211" s="22"/>
      <c r="G211" s="23">
        <f t="shared" ref="G211:G215" si="89">E211+F211</f>
        <v>5815</v>
      </c>
      <c r="H211" s="23"/>
      <c r="I211" s="23"/>
      <c r="J211" s="23"/>
      <c r="K211" s="23">
        <f>G211*0.3</f>
        <v>1744.5</v>
      </c>
      <c r="L211" s="23">
        <f>R211-K211-G211</f>
        <v>5940.5</v>
      </c>
      <c r="M211" s="23"/>
      <c r="N211" s="23"/>
      <c r="O211" s="23"/>
      <c r="P211" s="23"/>
      <c r="Q211" s="23"/>
      <c r="R211" s="23">
        <v>13500</v>
      </c>
      <c r="S211" s="25">
        <f>R211*12</f>
        <v>162000</v>
      </c>
    </row>
    <row r="212" spans="1:20" x14ac:dyDescent="0.25">
      <c r="A212" s="20" t="s">
        <v>289</v>
      </c>
      <c r="B212" s="21" t="s">
        <v>130</v>
      </c>
      <c r="C212" s="22">
        <v>1</v>
      </c>
      <c r="D212" s="22">
        <v>7</v>
      </c>
      <c r="E212" s="23">
        <v>4920</v>
      </c>
      <c r="F212" s="22"/>
      <c r="G212" s="23">
        <f t="shared" si="89"/>
        <v>4920</v>
      </c>
      <c r="H212" s="23"/>
      <c r="I212" s="23">
        <f>G212*0.1</f>
        <v>492</v>
      </c>
      <c r="J212" s="23"/>
      <c r="K212" s="23">
        <f>G212*0.3</f>
        <v>1476</v>
      </c>
      <c r="L212" s="23">
        <f>13500-G212-I212-K212</f>
        <v>6612</v>
      </c>
      <c r="M212" s="23"/>
      <c r="N212" s="23"/>
      <c r="O212" s="23"/>
      <c r="P212" s="23"/>
      <c r="Q212" s="23"/>
      <c r="R212" s="23">
        <f>G212+I212+K212+L212</f>
        <v>13500</v>
      </c>
      <c r="S212" s="25">
        <f t="shared" ref="S212:S213" si="90">R212*12</f>
        <v>162000</v>
      </c>
    </row>
    <row r="213" spans="1:20" x14ac:dyDescent="0.25">
      <c r="A213" s="20" t="s">
        <v>290</v>
      </c>
      <c r="B213" s="21" t="s">
        <v>134</v>
      </c>
      <c r="C213" s="22">
        <v>0.5</v>
      </c>
      <c r="D213" s="22">
        <v>3</v>
      </c>
      <c r="E213" s="23">
        <v>1885</v>
      </c>
      <c r="F213" s="22"/>
      <c r="G213" s="23">
        <f t="shared" si="89"/>
        <v>1885</v>
      </c>
      <c r="H213" s="23"/>
      <c r="I213" s="23">
        <f>G213*0.1</f>
        <v>188.5</v>
      </c>
      <c r="J213" s="23"/>
      <c r="K213" s="23"/>
      <c r="L213" s="23"/>
      <c r="M213" s="23"/>
      <c r="N213" s="23"/>
      <c r="O213" s="23"/>
      <c r="P213" s="23">
        <f>8000/2-G213</f>
        <v>2115</v>
      </c>
      <c r="Q213" s="23"/>
      <c r="R213" s="23">
        <f>SUM(G213:Q213)</f>
        <v>4188.5</v>
      </c>
      <c r="S213" s="25">
        <f t="shared" si="90"/>
        <v>50262</v>
      </c>
    </row>
    <row r="214" spans="1:20" x14ac:dyDescent="0.25">
      <c r="A214" s="20" t="s">
        <v>291</v>
      </c>
      <c r="B214" s="21" t="s">
        <v>227</v>
      </c>
      <c r="C214" s="22">
        <v>1.5</v>
      </c>
      <c r="D214" s="22">
        <v>1</v>
      </c>
      <c r="E214" s="23">
        <f>3195*C214</f>
        <v>4792.5</v>
      </c>
      <c r="F214" s="22"/>
      <c r="G214" s="23">
        <f t="shared" si="89"/>
        <v>4792.5</v>
      </c>
      <c r="H214" s="23"/>
      <c r="I214" s="23"/>
      <c r="J214" s="23"/>
      <c r="K214" s="23"/>
      <c r="L214" s="23"/>
      <c r="M214" s="23"/>
      <c r="N214" s="23"/>
      <c r="O214" s="23"/>
      <c r="P214" s="23">
        <f>8000*C214-G214</f>
        <v>7207.5</v>
      </c>
      <c r="Q214" s="23"/>
      <c r="R214" s="23">
        <f>E214+P214</f>
        <v>12000</v>
      </c>
      <c r="S214" s="25">
        <f>R214*6</f>
        <v>72000</v>
      </c>
    </row>
    <row r="215" spans="1:20" s="27" customFormat="1" ht="16.5" customHeight="1" thickBot="1" x14ac:dyDescent="0.3">
      <c r="A215" s="64"/>
      <c r="B215" s="47" t="s">
        <v>59</v>
      </c>
      <c r="C215" s="34">
        <f>SUM(C211:C214)</f>
        <v>4</v>
      </c>
      <c r="D215" s="34"/>
      <c r="E215" s="35">
        <f>SUM(E211:E214)</f>
        <v>17412.5</v>
      </c>
      <c r="F215" s="34">
        <f>SUM(F211:F214)</f>
        <v>0</v>
      </c>
      <c r="G215" s="35">
        <f t="shared" si="89"/>
        <v>17412.5</v>
      </c>
      <c r="H215" s="35"/>
      <c r="I215" s="35">
        <f>SUM(I212:I214)</f>
        <v>680.5</v>
      </c>
      <c r="J215" s="35"/>
      <c r="K215" s="35">
        <f>K211+K212</f>
        <v>3220.5</v>
      </c>
      <c r="L215" s="35">
        <f>L211+L212</f>
        <v>12552.5</v>
      </c>
      <c r="M215" s="35"/>
      <c r="N215" s="35"/>
      <c r="O215" s="35"/>
      <c r="P215" s="35">
        <f>SUM(P211:P214)</f>
        <v>9322.5</v>
      </c>
      <c r="Q215" s="35"/>
      <c r="R215" s="35">
        <f>SUM(R211:R214)</f>
        <v>43188.5</v>
      </c>
      <c r="S215" s="36">
        <f>SUM(S211:S214)</f>
        <v>446262</v>
      </c>
    </row>
    <row r="216" spans="1:20" s="13" customFormat="1" ht="22.2" customHeight="1" x14ac:dyDescent="0.2">
      <c r="A216" s="18"/>
      <c r="B216" s="55" t="s">
        <v>292</v>
      </c>
      <c r="C216" s="85"/>
      <c r="D216" s="85"/>
      <c r="E216" s="94"/>
      <c r="F216" s="85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110"/>
    </row>
    <row r="217" spans="1:20" x14ac:dyDescent="0.25">
      <c r="A217" s="20" t="s">
        <v>293</v>
      </c>
      <c r="B217" s="21" t="s">
        <v>220</v>
      </c>
      <c r="C217" s="22">
        <v>1</v>
      </c>
      <c r="D217" s="22">
        <v>10</v>
      </c>
      <c r="E217" s="23">
        <v>5815</v>
      </c>
      <c r="F217" s="22"/>
      <c r="G217" s="23">
        <f t="shared" ref="G217:G219" si="91">E217+F217</f>
        <v>5815</v>
      </c>
      <c r="H217" s="23"/>
      <c r="I217" s="23"/>
      <c r="J217" s="23"/>
      <c r="K217" s="23">
        <f>G217*0.3</f>
        <v>1744.5</v>
      </c>
      <c r="L217" s="23">
        <f>R217-K217-G217</f>
        <v>5940.5</v>
      </c>
      <c r="M217" s="23"/>
      <c r="N217" s="23"/>
      <c r="O217" s="23"/>
      <c r="P217" s="23"/>
      <c r="Q217" s="23"/>
      <c r="R217" s="23">
        <v>13500</v>
      </c>
      <c r="S217" s="25">
        <f>R217*12</f>
        <v>162000</v>
      </c>
    </row>
    <row r="218" spans="1:20" s="38" customFormat="1" x14ac:dyDescent="0.25">
      <c r="A218" s="20" t="s">
        <v>294</v>
      </c>
      <c r="B218" s="21" t="s">
        <v>134</v>
      </c>
      <c r="C218" s="22">
        <v>0.5</v>
      </c>
      <c r="D218" s="22">
        <v>3</v>
      </c>
      <c r="E218" s="23">
        <v>1885</v>
      </c>
      <c r="F218" s="22"/>
      <c r="G218" s="23">
        <f t="shared" si="91"/>
        <v>1885</v>
      </c>
      <c r="H218" s="23"/>
      <c r="I218" s="23">
        <f>G218*0.1</f>
        <v>188.5</v>
      </c>
      <c r="J218" s="23"/>
      <c r="K218" s="23"/>
      <c r="L218" s="23"/>
      <c r="M218" s="23"/>
      <c r="N218" s="23"/>
      <c r="O218" s="23"/>
      <c r="P218" s="23">
        <f>8000/2-G218</f>
        <v>2115</v>
      </c>
      <c r="Q218" s="23"/>
      <c r="R218" s="23">
        <f>SUM(G218:Q218)</f>
        <v>4188.5</v>
      </c>
      <c r="S218" s="25">
        <f>R218*12</f>
        <v>50262</v>
      </c>
      <c r="T218" s="46"/>
    </row>
    <row r="219" spans="1:20" s="27" customFormat="1" ht="18" customHeight="1" thickBot="1" x14ac:dyDescent="0.3">
      <c r="A219" s="64"/>
      <c r="B219" s="47" t="s">
        <v>59</v>
      </c>
      <c r="C219" s="34">
        <f>SUM(C217:C218)</f>
        <v>1.5</v>
      </c>
      <c r="D219" s="34"/>
      <c r="E219" s="35">
        <f>SUM(E217:E218)</f>
        <v>7700</v>
      </c>
      <c r="F219" s="34">
        <f>SUM(F217:F218)</f>
        <v>0</v>
      </c>
      <c r="G219" s="35">
        <f t="shared" si="91"/>
        <v>7700</v>
      </c>
      <c r="H219" s="35"/>
      <c r="I219" s="35">
        <f>SUM(I218)</f>
        <v>188.5</v>
      </c>
      <c r="J219" s="35"/>
      <c r="K219" s="35">
        <f>SUM(K217:K218)</f>
        <v>1744.5</v>
      </c>
      <c r="L219" s="35">
        <f>SUM(L217:L218)</f>
        <v>5940.5</v>
      </c>
      <c r="M219" s="35"/>
      <c r="N219" s="35"/>
      <c r="O219" s="35"/>
      <c r="P219" s="35">
        <f>SUM(P218)</f>
        <v>2115</v>
      </c>
      <c r="Q219" s="35"/>
      <c r="R219" s="35">
        <f>SUM(R217:R218)</f>
        <v>17688.5</v>
      </c>
      <c r="S219" s="36">
        <f>SUM(S217:S218)</f>
        <v>212262</v>
      </c>
    </row>
    <row r="220" spans="1:20" ht="22.2" customHeight="1" x14ac:dyDescent="0.25">
      <c r="A220" s="15"/>
      <c r="B220" s="55" t="s">
        <v>295</v>
      </c>
      <c r="C220" s="85"/>
      <c r="D220" s="85"/>
      <c r="E220" s="94"/>
      <c r="F220" s="85"/>
      <c r="G220" s="94"/>
      <c r="H220" s="94"/>
      <c r="I220" s="94"/>
      <c r="J220" s="94"/>
      <c r="K220" s="94"/>
      <c r="L220" s="94"/>
      <c r="M220" s="94"/>
      <c r="N220" s="94"/>
      <c r="O220" s="94"/>
      <c r="P220" s="94"/>
      <c r="Q220" s="94"/>
      <c r="R220" s="94"/>
      <c r="S220" s="110"/>
    </row>
    <row r="221" spans="1:20" x14ac:dyDescent="0.25">
      <c r="A221" s="20" t="s">
        <v>296</v>
      </c>
      <c r="B221" s="21" t="s">
        <v>130</v>
      </c>
      <c r="C221" s="22">
        <v>0.5</v>
      </c>
      <c r="D221" s="22">
        <v>10</v>
      </c>
      <c r="E221" s="23">
        <v>2907.5</v>
      </c>
      <c r="F221" s="22"/>
      <c r="G221" s="23">
        <f t="shared" ref="G221:G223" si="92">E221+F221</f>
        <v>2907.5</v>
      </c>
      <c r="H221" s="23"/>
      <c r="I221" s="23"/>
      <c r="J221" s="23"/>
      <c r="K221" s="23">
        <f>G221*0.3</f>
        <v>872.25</v>
      </c>
      <c r="L221" s="23">
        <f>13500/2-G221-K221</f>
        <v>2970.25</v>
      </c>
      <c r="M221" s="23"/>
      <c r="N221" s="23"/>
      <c r="O221" s="23"/>
      <c r="P221" s="23"/>
      <c r="Q221" s="23"/>
      <c r="R221" s="23">
        <f>G221+K221+L221</f>
        <v>6750</v>
      </c>
      <c r="S221" s="25">
        <f>R221*12</f>
        <v>81000</v>
      </c>
    </row>
    <row r="222" spans="1:20" s="38" customFormat="1" x14ac:dyDescent="0.25">
      <c r="A222" s="20" t="s">
        <v>297</v>
      </c>
      <c r="B222" s="21" t="s">
        <v>134</v>
      </c>
      <c r="C222" s="22">
        <v>0.25</v>
      </c>
      <c r="D222" s="22">
        <v>3</v>
      </c>
      <c r="E222" s="23">
        <v>942.5</v>
      </c>
      <c r="F222" s="22"/>
      <c r="G222" s="23">
        <f t="shared" si="92"/>
        <v>942.5</v>
      </c>
      <c r="H222" s="23"/>
      <c r="I222" s="23">
        <f>G222*0.1</f>
        <v>94.25</v>
      </c>
      <c r="J222" s="23"/>
      <c r="K222" s="23"/>
      <c r="L222" s="23"/>
      <c r="M222" s="23"/>
      <c r="N222" s="23"/>
      <c r="O222" s="23"/>
      <c r="P222" s="23">
        <f>8000*0.25-G222</f>
        <v>1057.5</v>
      </c>
      <c r="Q222" s="23"/>
      <c r="R222" s="23">
        <f>E222+I222+P222</f>
        <v>2094.25</v>
      </c>
      <c r="S222" s="25">
        <f>R222*12</f>
        <v>25131</v>
      </c>
    </row>
    <row r="223" spans="1:20" s="27" customFormat="1" ht="19.2" customHeight="1" thickBot="1" x14ac:dyDescent="0.3">
      <c r="A223" s="64"/>
      <c r="B223" s="47" t="s">
        <v>59</v>
      </c>
      <c r="C223" s="34">
        <f>SUM(C221:C222)</f>
        <v>0.75</v>
      </c>
      <c r="D223" s="34"/>
      <c r="E223" s="35">
        <f>SUM(E221:E222)</f>
        <v>3850</v>
      </c>
      <c r="F223" s="34">
        <f>SUM(F221:F222)</f>
        <v>0</v>
      </c>
      <c r="G223" s="35">
        <f t="shared" si="92"/>
        <v>3850</v>
      </c>
      <c r="H223" s="35"/>
      <c r="I223" s="35">
        <f>SUM(I222)</f>
        <v>94.25</v>
      </c>
      <c r="J223" s="35"/>
      <c r="K223" s="35">
        <f>SUM(K221:K222)</f>
        <v>872.25</v>
      </c>
      <c r="L223" s="35">
        <f>SUM(L221:L222)</f>
        <v>2970.25</v>
      </c>
      <c r="M223" s="35"/>
      <c r="N223" s="35"/>
      <c r="O223" s="35"/>
      <c r="P223" s="35">
        <f>SUM(P222)</f>
        <v>1057.5</v>
      </c>
      <c r="Q223" s="35"/>
      <c r="R223" s="35">
        <f>SUM(R221:R222)</f>
        <v>8844.25</v>
      </c>
      <c r="S223" s="36">
        <f>SUM(S221:S222)</f>
        <v>106131</v>
      </c>
    </row>
    <row r="224" spans="1:20" ht="21" customHeight="1" x14ac:dyDescent="0.25">
      <c r="A224" s="15"/>
      <c r="B224" s="55" t="s">
        <v>298</v>
      </c>
      <c r="C224" s="85"/>
      <c r="D224" s="85"/>
      <c r="E224" s="94"/>
      <c r="F224" s="85"/>
      <c r="G224" s="94"/>
      <c r="H224" s="94"/>
      <c r="I224" s="94"/>
      <c r="J224" s="94"/>
      <c r="K224" s="94"/>
      <c r="L224" s="94"/>
      <c r="M224" s="94"/>
      <c r="N224" s="94"/>
      <c r="O224" s="94"/>
      <c r="P224" s="94"/>
      <c r="Q224" s="94"/>
      <c r="R224" s="94"/>
      <c r="S224" s="110"/>
    </row>
    <row r="225" spans="1:19" x14ac:dyDescent="0.25">
      <c r="A225" s="20" t="s">
        <v>299</v>
      </c>
      <c r="B225" s="21" t="s">
        <v>130</v>
      </c>
      <c r="C225" s="22">
        <v>0.5</v>
      </c>
      <c r="D225" s="22">
        <v>10</v>
      </c>
      <c r="E225" s="23">
        <v>2907.5</v>
      </c>
      <c r="F225" s="22"/>
      <c r="G225" s="23">
        <f t="shared" ref="G225:G227" si="93">E225+F225</f>
        <v>2907.5</v>
      </c>
      <c r="H225" s="23"/>
      <c r="I225" s="23"/>
      <c r="J225" s="23"/>
      <c r="K225" s="23">
        <f>G225*0.3</f>
        <v>872.25</v>
      </c>
      <c r="L225" s="23">
        <f>13500/2-G225-K225</f>
        <v>2970.25</v>
      </c>
      <c r="M225" s="23"/>
      <c r="N225" s="23"/>
      <c r="O225" s="23"/>
      <c r="P225" s="23"/>
      <c r="Q225" s="23"/>
      <c r="R225" s="23">
        <f>G225+K225+L225</f>
        <v>6750</v>
      </c>
      <c r="S225" s="25">
        <v>12</v>
      </c>
    </row>
    <row r="226" spans="1:19" s="38" customFormat="1" x14ac:dyDescent="0.25">
      <c r="A226" s="20" t="s">
        <v>300</v>
      </c>
      <c r="B226" s="21" t="s">
        <v>134</v>
      </c>
      <c r="C226" s="22">
        <v>0.25</v>
      </c>
      <c r="D226" s="22">
        <v>3</v>
      </c>
      <c r="E226" s="23">
        <v>942.5</v>
      </c>
      <c r="F226" s="22"/>
      <c r="G226" s="23">
        <f t="shared" si="93"/>
        <v>942.5</v>
      </c>
      <c r="H226" s="23"/>
      <c r="I226" s="23">
        <f>G226*0.1</f>
        <v>94.25</v>
      </c>
      <c r="J226" s="23"/>
      <c r="K226" s="23"/>
      <c r="L226" s="23"/>
      <c r="M226" s="23"/>
      <c r="N226" s="23"/>
      <c r="O226" s="23"/>
      <c r="P226" s="23">
        <f>8000*0.25-G226</f>
        <v>1057.5</v>
      </c>
      <c r="Q226" s="23"/>
      <c r="R226" s="23">
        <f>E226+I226+P226</f>
        <v>2094.25</v>
      </c>
      <c r="S226" s="25">
        <f>R226*12</f>
        <v>25131</v>
      </c>
    </row>
    <row r="227" spans="1:19" s="27" customFormat="1" ht="19.2" customHeight="1" thickBot="1" x14ac:dyDescent="0.3">
      <c r="A227" s="64"/>
      <c r="B227" s="47" t="s">
        <v>59</v>
      </c>
      <c r="C227" s="34">
        <f>SUM(C225:C226)</f>
        <v>0.75</v>
      </c>
      <c r="D227" s="34"/>
      <c r="E227" s="35">
        <f>SUM(E225:E226)</f>
        <v>3850</v>
      </c>
      <c r="F227" s="34">
        <f>SUM(F225:F226)</f>
        <v>0</v>
      </c>
      <c r="G227" s="35">
        <f t="shared" si="93"/>
        <v>3850</v>
      </c>
      <c r="H227" s="35"/>
      <c r="I227" s="35">
        <f>SUM(I226)</f>
        <v>94.25</v>
      </c>
      <c r="J227" s="35"/>
      <c r="K227" s="35">
        <f>SUM(K225:K226)</f>
        <v>872.25</v>
      </c>
      <c r="L227" s="35">
        <f>SUM(L225:L226)</f>
        <v>2970.25</v>
      </c>
      <c r="M227" s="35"/>
      <c r="N227" s="35"/>
      <c r="O227" s="35"/>
      <c r="P227" s="35">
        <f>SUM(P226)</f>
        <v>1057.5</v>
      </c>
      <c r="Q227" s="35"/>
      <c r="R227" s="35">
        <f>SUM(R225:R226)</f>
        <v>8844.25</v>
      </c>
      <c r="S227" s="36">
        <f>SUM(S225:S226)</f>
        <v>25143</v>
      </c>
    </row>
    <row r="228" spans="1:19" s="49" customFormat="1" ht="23.25" customHeight="1" thickBot="1" x14ac:dyDescent="0.3">
      <c r="A228" s="67"/>
      <c r="B228" s="119" t="s">
        <v>301</v>
      </c>
      <c r="C228" s="120">
        <f>C27+C37+C45+C40+C53+C59+C80+C121+C109+C115+C134+C145+C151+C158+C165+C174+C179+C219+C215+C209+C195+C200+C223+C227+C185+C204+C190+C138</f>
        <v>190.5</v>
      </c>
      <c r="D228" s="121"/>
      <c r="E228" s="120">
        <f>E27+E37+E45+E40+E53+E59+E80+E121+E109+E115+E134+E145+E151+E158+E165+E174+E179+E215+E219+E209+E195+E200+E223+E185+E204+E190+E138+E227</f>
        <v>1093484</v>
      </c>
      <c r="F228" s="120">
        <f>F27+F37+F45+F40+F59+F80+F121+F109+F115+F134+F145+F151+F158+F165+F174+F179+F215+F219+F209+F195+F200+F223+F185+F204+F190+F138</f>
        <v>31397.7</v>
      </c>
      <c r="G228" s="120">
        <f>G27+G37+G45+G40+G53+G59+G80+G121+G109+G115+G134+G145+G151+G158+G165+G174+G179+G215+G219+G209+G195+G200+G223+G185+G204+G190+G138</f>
        <v>1121031.7000000002</v>
      </c>
      <c r="H228" s="120">
        <f>H27+H138</f>
        <v>23683.75</v>
      </c>
      <c r="I228" s="120">
        <f>I37+I45+I80+I121+I109+I115+I134+I145+I151+I158+I165+I174+I179+I215+I219+I209+I195+I200+I223+I185+I204+I190+I138</f>
        <v>26582.705000000002</v>
      </c>
      <c r="J228" s="120">
        <f>J37+J45+J138</f>
        <v>491.82400000000001</v>
      </c>
      <c r="K228" s="120">
        <f>K27+K53+K59+K80+K121+K109+K115+K134+K145+K151+K158+K165+K174+K179+K215+K219+K209+K195+K200+K223+K185+K204+K190+K138</f>
        <v>221222.75999999995</v>
      </c>
      <c r="L228" s="120">
        <f>L53+L59+L80+L121+L109+L115+L134+L145+L151+L158+L165+L174+L179+L215+L219+L209+L195+L200+L223+L185+L204+L190+L138</f>
        <v>880778.92999999982</v>
      </c>
      <c r="M228" s="120">
        <f>M27</f>
        <v>3750</v>
      </c>
      <c r="N228" s="120">
        <f>N80+N121+N138</f>
        <v>25557.735000000001</v>
      </c>
      <c r="O228" s="120">
        <f>O27+O53+O138</f>
        <v>141900.25</v>
      </c>
      <c r="P228" s="120">
        <f>P37+P45+P40+P53+P59+P80+P121+P109+P115+P134+P145+P151+P158+P165+P174+P179+P215+P219+P209+P195+P200+P223+P185+P204+P190+P138</f>
        <v>244466.75</v>
      </c>
      <c r="Q228" s="120"/>
      <c r="R228" s="120">
        <f>R27+R37+R45+R40+R53+R59+R80+R121+R109+R115+R134+R145+R151+R158+R165+R174+R179+R215+R219+R209+R195+R200+R223+R185+R204+R190+R138+R227</f>
        <v>2698076.3539999998</v>
      </c>
      <c r="S228" s="122">
        <f>S27+S37+S40+S45+S53+S59+S80+S109+S115+S121+S134+S145+S151+S158+S165+S174+S179+S215+S219+S209+S195+S200+S223+S185+S204+S190+S138+S227</f>
        <v>32019928.248</v>
      </c>
    </row>
    <row r="229" spans="1:19" ht="12.6" thickBot="1" x14ac:dyDescent="0.3">
      <c r="F229" s="13"/>
      <c r="I229" s="68"/>
    </row>
    <row r="230" spans="1:19" ht="15.6" customHeight="1" x14ac:dyDescent="0.25">
      <c r="B230" s="69" t="s">
        <v>302</v>
      </c>
      <c r="C230" s="70">
        <f>C47+C48+C55+C56+C57+C62+C63+C64+C65+C66+C67+C117+C118+C82+C83+C84+C85+C86+C87+C88+C98+C93+C89+C94+C90+C73+C96+C95+C92+C91+C99+C97+C100+C111+C112+C127+C123+C128+C129+C140+C147+C153+C160+C167+C168+C169+C176+C135+C68+C69+C70+C71+C72</f>
        <v>49.75</v>
      </c>
      <c r="D230" s="70"/>
      <c r="E230" s="70">
        <f t="shared" ref="E230:S230" si="94">E47+E48+E55+E56+E57+E62+E63+E64+E65+E66+E67+E117+E118+E82+E83+E84+E85+E86+E87+E88+E98+E93+E89+E94+E90+E73+E96+E95+E92+E91+E99+E97+E100+E111+E112+E127+E123+E128+E129+E140+E147+E153+E160+E167+E168+E169+E176+E135+E68+E69+E70+E71+E72</f>
        <v>350011.75</v>
      </c>
      <c r="F230" s="70"/>
      <c r="G230" s="70"/>
      <c r="H230" s="70"/>
      <c r="I230" s="70"/>
      <c r="J230" s="70"/>
      <c r="K230" s="70"/>
      <c r="L230" s="70"/>
      <c r="M230" s="70"/>
      <c r="N230" s="70"/>
      <c r="O230" s="70"/>
      <c r="P230" s="70"/>
      <c r="Q230" s="70">
        <f t="shared" si="94"/>
        <v>0</v>
      </c>
      <c r="R230" s="70">
        <f t="shared" si="94"/>
        <v>980000</v>
      </c>
      <c r="S230" s="88">
        <f t="shared" si="94"/>
        <v>11760000</v>
      </c>
    </row>
    <row r="231" spans="1:19" ht="15.6" customHeight="1" x14ac:dyDescent="0.25">
      <c r="B231" s="71" t="s">
        <v>303</v>
      </c>
      <c r="C231" s="72">
        <f>C17+C49+C52+C74+C75+C76+C119+C101+C104+C105+C102+C103+C106+C113+C124+C130+C131+C132+C141+C148+C149+C154+C155+C161+C162+C170+C171+C177+C212+C211+C217+C206+C192+C197+C221+C182+C202+C187+C136+C225</f>
        <v>69</v>
      </c>
      <c r="D231" s="72"/>
      <c r="E231" s="123">
        <f t="shared" ref="E231:S231" si="95">E17+E49+E52+E74+E75+E76+E119+E101+E104+E105+E102+E103+E106+E113+E124+E130+E131+E132+E141+E148+E149+E154+E155+E161+E162+E170+E171+E177+E212+E211+E217+E206+E192+E197+E221+E182+E202+E187+E136+E225</f>
        <v>387386</v>
      </c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>
        <f t="shared" si="95"/>
        <v>0</v>
      </c>
      <c r="R231" s="72">
        <f t="shared" si="95"/>
        <v>940097</v>
      </c>
      <c r="S231" s="89">
        <f t="shared" si="95"/>
        <v>11200176</v>
      </c>
    </row>
    <row r="232" spans="1:19" ht="15.6" customHeight="1" x14ac:dyDescent="0.25">
      <c r="B232" s="71" t="s">
        <v>304</v>
      </c>
      <c r="C232" s="72">
        <f>C77+C78+C120+C108+C114+C133+C142+C150+C156+C163+C172+C178+C213+C218+C207+C193+C198+C222+C183+C203+C188+C226</f>
        <v>26.5</v>
      </c>
      <c r="D232" s="72"/>
      <c r="E232" s="123">
        <f t="shared" ref="E232:S232" si="96">E77+E78+E120+E108+E114+E133+E142+E150+E156+E163+E172+E178+E213+E218+E207+E193+E198+E222+E183+E203+E188+E226</f>
        <v>102641</v>
      </c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>
        <f t="shared" si="96"/>
        <v>0</v>
      </c>
      <c r="R232" s="72">
        <f t="shared" si="96"/>
        <v>229368.28</v>
      </c>
      <c r="S232" s="89">
        <f t="shared" si="96"/>
        <v>2752419.3600000003</v>
      </c>
    </row>
    <row r="233" spans="1:19" ht="15.6" customHeight="1" x14ac:dyDescent="0.25">
      <c r="B233" s="71" t="s">
        <v>305</v>
      </c>
      <c r="C233" s="72">
        <f>C14+C15+C16+C18+C19+C20+C21+C22+C23+C24+C25+C26+C29+C30+C31+C32+C34+C35+C36+C42+C43+C44+C39+C50+C51+C58+C79+C107+C143+C144+C157+C164+C173+C214+C208+C194+C199+C184+C189+C137+C33</f>
        <v>45.25</v>
      </c>
      <c r="D233" s="72"/>
      <c r="E233" s="123">
        <f t="shared" ref="E233:S233" si="97">E14+E15+E16+E18+E19+E20+E21+E22+E23+E24+E25+E26+E29+E30+E31+E32+E34+E35+E36+E42+E43+E44+E39+E50+E51+E58+E79+E107+E143+E144+E157+E164+E173+E214+E208+E194+E199+E184+E189+E137+E33</f>
        <v>253445.25</v>
      </c>
      <c r="F233" s="72"/>
      <c r="G233" s="72"/>
      <c r="H233" s="72" t="s">
        <v>8</v>
      </c>
      <c r="I233" s="72"/>
      <c r="J233" s="72"/>
      <c r="K233" s="72"/>
      <c r="L233" s="72"/>
      <c r="M233" s="72"/>
      <c r="N233" s="72"/>
      <c r="O233" s="72"/>
      <c r="P233" s="72"/>
      <c r="Q233" s="72">
        <f t="shared" si="97"/>
        <v>0</v>
      </c>
      <c r="R233" s="72">
        <f t="shared" si="97"/>
        <v>548611.07400000002</v>
      </c>
      <c r="S233" s="72">
        <f t="shared" si="97"/>
        <v>6307332.8879999993</v>
      </c>
    </row>
    <row r="234" spans="1:19" ht="12.6" thickBot="1" x14ac:dyDescent="0.3">
      <c r="B234" s="73" t="s">
        <v>306</v>
      </c>
      <c r="C234" s="74">
        <f>SUBTOTAL(9,C230:C233)</f>
        <v>190.5</v>
      </c>
      <c r="D234" s="74"/>
      <c r="E234" s="75">
        <f>SUBTOTAL(9,E230:E233)</f>
        <v>1093484</v>
      </c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>
        <f t="shared" ref="Q234:S234" si="98">SUBTOTAL(9,Q230:Q233)</f>
        <v>0</v>
      </c>
      <c r="R234" s="75">
        <f>R230+R231+R232+R233</f>
        <v>2698076.3539999998</v>
      </c>
      <c r="S234" s="76">
        <f t="shared" si="98"/>
        <v>32019928.248</v>
      </c>
    </row>
    <row r="235" spans="1:19" ht="19.95" customHeight="1" x14ac:dyDescent="0.25">
      <c r="R235" s="53"/>
    </row>
    <row r="236" spans="1:19" ht="19.2" customHeight="1" x14ac:dyDescent="0.3">
      <c r="B236" s="77" t="s">
        <v>307</v>
      </c>
      <c r="C236" s="78"/>
      <c r="D236" s="78"/>
      <c r="E236" s="79">
        <f>E234</f>
        <v>1093484</v>
      </c>
      <c r="G236" s="80"/>
      <c r="H236" s="81"/>
      <c r="I236" s="82"/>
    </row>
    <row r="237" spans="1:19" x14ac:dyDescent="0.25">
      <c r="B237" s="77" t="s">
        <v>308</v>
      </c>
      <c r="E237" s="52">
        <f>S228+E236</f>
        <v>33113412.248</v>
      </c>
    </row>
    <row r="239" spans="1:19" ht="15.6" x14ac:dyDescent="0.3">
      <c r="C239" s="83"/>
      <c r="D239" s="83"/>
      <c r="E239" s="83"/>
      <c r="F239" s="83"/>
      <c r="G239" s="83"/>
      <c r="H239" s="83"/>
      <c r="I239" s="83"/>
      <c r="J239" s="83"/>
    </row>
    <row r="240" spans="1:19" ht="15.6" x14ac:dyDescent="0.3">
      <c r="C240" s="83" t="s">
        <v>3</v>
      </c>
      <c r="D240" s="83"/>
      <c r="E240" s="83"/>
      <c r="F240" s="83"/>
      <c r="G240" s="83"/>
      <c r="H240" s="83" t="s">
        <v>309</v>
      </c>
      <c r="I240" s="83"/>
      <c r="J240" s="83"/>
    </row>
    <row r="241" spans="3:10" ht="15.6" x14ac:dyDescent="0.3">
      <c r="C241" s="83"/>
      <c r="D241" s="83"/>
      <c r="E241" s="83"/>
      <c r="F241" s="83"/>
      <c r="G241" s="83"/>
      <c r="H241" s="83"/>
      <c r="I241" s="83"/>
      <c r="J241" s="83"/>
    </row>
    <row r="242" spans="3:10" ht="15.6" x14ac:dyDescent="0.3">
      <c r="C242" s="83"/>
      <c r="D242" s="83"/>
      <c r="E242" s="83"/>
      <c r="F242" s="83"/>
      <c r="G242" s="83"/>
      <c r="H242" s="83"/>
      <c r="I242" s="83"/>
      <c r="J242" s="83"/>
    </row>
    <row r="243" spans="3:10" ht="15.6" x14ac:dyDescent="0.3">
      <c r="C243" s="143" t="s">
        <v>39</v>
      </c>
      <c r="D243" s="143"/>
      <c r="E243" s="143"/>
      <c r="F243" s="83"/>
      <c r="G243" s="83"/>
      <c r="H243" s="83" t="s">
        <v>310</v>
      </c>
      <c r="I243" s="83"/>
      <c r="J243" s="83"/>
    </row>
    <row r="244" spans="3:10" ht="15.6" x14ac:dyDescent="0.3">
      <c r="C244" s="83"/>
      <c r="D244" s="84"/>
      <c r="E244" s="84"/>
      <c r="F244" s="83"/>
      <c r="G244" s="83"/>
      <c r="H244" s="83"/>
      <c r="I244" s="83"/>
      <c r="J244" s="83"/>
    </row>
    <row r="245" spans="3:10" ht="15.6" x14ac:dyDescent="0.3">
      <c r="C245" s="83"/>
      <c r="D245" s="83"/>
      <c r="E245" s="83"/>
      <c r="F245" s="83"/>
      <c r="G245" s="83"/>
      <c r="H245" s="83"/>
      <c r="I245" s="83"/>
      <c r="J245" s="83"/>
    </row>
    <row r="246" spans="3:10" ht="15.6" x14ac:dyDescent="0.3">
      <c r="C246" s="83" t="s">
        <v>46</v>
      </c>
      <c r="D246" s="83"/>
      <c r="E246" s="83"/>
      <c r="F246" s="83"/>
      <c r="G246" s="83"/>
      <c r="H246" s="83" t="s">
        <v>311</v>
      </c>
      <c r="I246" s="83"/>
      <c r="J246" s="83"/>
    </row>
    <row r="247" spans="3:10" ht="15.6" x14ac:dyDescent="0.3">
      <c r="C247" s="83"/>
      <c r="D247" s="83"/>
      <c r="E247" s="83"/>
      <c r="F247" s="83"/>
      <c r="G247" s="83"/>
      <c r="H247" s="83"/>
      <c r="I247" s="83"/>
      <c r="J247" s="83"/>
    </row>
    <row r="248" spans="3:10" ht="15.6" x14ac:dyDescent="0.3">
      <c r="C248" s="83"/>
      <c r="D248" s="83"/>
      <c r="E248" s="83"/>
      <c r="F248" s="83"/>
      <c r="G248" s="83"/>
      <c r="H248" s="83"/>
      <c r="I248" s="83"/>
      <c r="J248" s="83"/>
    </row>
    <row r="249" spans="3:10" ht="15.6" x14ac:dyDescent="0.3">
      <c r="C249" s="143"/>
      <c r="D249" s="144"/>
      <c r="E249" s="144"/>
      <c r="F249" s="83"/>
      <c r="G249" s="83"/>
      <c r="H249" s="83"/>
      <c r="I249" s="83"/>
      <c r="J249" s="83"/>
    </row>
    <row r="250" spans="3:10" ht="15.6" x14ac:dyDescent="0.3">
      <c r="C250" s="83"/>
      <c r="D250" s="84"/>
      <c r="E250" s="84"/>
      <c r="F250" s="83"/>
      <c r="G250" s="83"/>
      <c r="H250" s="83"/>
      <c r="I250" s="83"/>
      <c r="J250" s="83"/>
    </row>
    <row r="251" spans="3:10" ht="15.6" x14ac:dyDescent="0.3">
      <c r="C251" s="83"/>
      <c r="D251" s="83"/>
      <c r="E251" s="83"/>
      <c r="F251" s="83"/>
      <c r="G251" s="83"/>
      <c r="H251" s="83"/>
      <c r="I251" s="83"/>
      <c r="J251" s="83"/>
    </row>
    <row r="252" spans="3:10" ht="15.6" x14ac:dyDescent="0.3">
      <c r="C252" s="83"/>
      <c r="D252" s="83"/>
      <c r="E252" s="83"/>
      <c r="F252" s="83"/>
      <c r="G252" s="83"/>
      <c r="H252" s="83"/>
      <c r="I252" s="83"/>
      <c r="J252" s="83"/>
    </row>
  </sheetData>
  <mergeCells count="29">
    <mergeCell ref="C249:E249"/>
    <mergeCell ref="O11:O12"/>
    <mergeCell ref="P11:P12"/>
    <mergeCell ref="Q11:Q12"/>
    <mergeCell ref="R11:R12"/>
    <mergeCell ref="S11:S12"/>
    <mergeCell ref="C243:E243"/>
    <mergeCell ref="F11:F12"/>
    <mergeCell ref="G11:G12"/>
    <mergeCell ref="H11:K11"/>
    <mergeCell ref="L11:L12"/>
    <mergeCell ref="M11:M12"/>
    <mergeCell ref="N11:N12"/>
    <mergeCell ref="M6:S6"/>
    <mergeCell ref="O8:P8"/>
    <mergeCell ref="S8:AH8"/>
    <mergeCell ref="B9:R9"/>
    <mergeCell ref="B10:R10"/>
    <mergeCell ref="A11:A12"/>
    <mergeCell ref="B11:B12"/>
    <mergeCell ref="C11:C12"/>
    <mergeCell ref="D11:D12"/>
    <mergeCell ref="E11:E12"/>
    <mergeCell ref="B1:S1"/>
    <mergeCell ref="M2:S2"/>
    <mergeCell ref="B3:D3"/>
    <mergeCell ref="M3:S3"/>
    <mergeCell ref="B5:D5"/>
    <mergeCell ref="M5:P5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11DFD-950A-4C2E-915C-6089E0A39805}">
  <dimension ref="A1:AI251"/>
  <sheetViews>
    <sheetView zoomScale="80" zoomScaleNormal="80" workbookViewId="0">
      <selection sqref="A1:XFD1048576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3" width="11.33203125" style="2" customWidth="1"/>
    <col min="14" max="14" width="11.109375" style="2" customWidth="1"/>
    <col min="15" max="15" width="12.5546875" style="2" customWidth="1"/>
    <col min="16" max="16" width="10.88671875" style="2" customWidth="1"/>
    <col min="17" max="17" width="0.21875" style="2" customWidth="1"/>
    <col min="18" max="18" width="11.5546875" style="2" customWidth="1"/>
    <col min="19" max="19" width="11.886718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4"/>
      <c r="S1" s="16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63"/>
      <c r="N2" s="164"/>
      <c r="O2" s="164"/>
      <c r="P2" s="164"/>
      <c r="Q2" s="164"/>
      <c r="R2" s="164"/>
      <c r="S2" s="164"/>
    </row>
    <row r="3" spans="1:35" ht="40.799999999999997" customHeight="1" x14ac:dyDescent="0.35">
      <c r="B3" s="165" t="s">
        <v>0</v>
      </c>
      <c r="C3" s="166"/>
      <c r="D3" s="166"/>
      <c r="E3" s="4"/>
      <c r="F3" s="4"/>
      <c r="G3" s="4"/>
      <c r="H3" s="4"/>
      <c r="I3" s="4"/>
      <c r="J3" s="4"/>
      <c r="K3" s="4"/>
      <c r="L3" s="4"/>
      <c r="M3" s="167" t="s">
        <v>1</v>
      </c>
      <c r="N3" s="168"/>
      <c r="O3" s="168"/>
      <c r="P3" s="168"/>
      <c r="Q3" s="168"/>
      <c r="R3" s="168"/>
      <c r="S3" s="168"/>
    </row>
    <row r="4" spans="1:35" ht="11.4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/>
      <c r="N4"/>
      <c r="O4"/>
      <c r="P4"/>
      <c r="Q4"/>
      <c r="R4"/>
      <c r="S4"/>
    </row>
    <row r="5" spans="1:35" ht="17.399999999999999" x14ac:dyDescent="0.3">
      <c r="B5" s="169" t="s">
        <v>2</v>
      </c>
      <c r="C5" s="169"/>
      <c r="D5" s="169"/>
      <c r="G5" s="8"/>
      <c r="H5" s="8"/>
      <c r="I5" s="8"/>
      <c r="J5" s="8"/>
      <c r="K5" s="8"/>
      <c r="L5" s="8"/>
      <c r="M5" s="143" t="s">
        <v>3</v>
      </c>
      <c r="N5" s="144"/>
      <c r="O5" s="144"/>
      <c r="P5" s="144"/>
      <c r="Q5" s="9"/>
      <c r="R5" s="9"/>
      <c r="S5" s="3"/>
    </row>
    <row r="6" spans="1:35" ht="29.4" customHeight="1" x14ac:dyDescent="0.3">
      <c r="B6" s="10"/>
      <c r="G6" s="11"/>
      <c r="H6" s="12"/>
      <c r="M6" s="155" t="s">
        <v>4</v>
      </c>
      <c r="N6" s="144"/>
      <c r="O6" s="144"/>
      <c r="P6" s="144"/>
      <c r="Q6" s="144"/>
      <c r="R6" s="144"/>
      <c r="S6" s="144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6" t="s">
        <v>320</v>
      </c>
      <c r="P8" s="157"/>
      <c r="Q8" s="13"/>
      <c r="R8" s="13"/>
      <c r="S8" s="158" t="s">
        <v>6</v>
      </c>
      <c r="T8" s="158"/>
      <c r="U8" s="158"/>
      <c r="V8" s="158"/>
      <c r="W8" s="158"/>
      <c r="X8" s="158"/>
      <c r="Y8" s="158"/>
      <c r="Z8" s="158"/>
      <c r="AA8" s="158"/>
      <c r="AB8" s="158"/>
      <c r="AC8" s="158"/>
      <c r="AD8" s="158"/>
      <c r="AE8" s="158"/>
      <c r="AF8" s="158"/>
      <c r="AG8" s="158"/>
      <c r="AH8" s="158"/>
      <c r="AI8" s="14"/>
    </row>
    <row r="9" spans="1:35" ht="23.4" customHeight="1" x14ac:dyDescent="0.3">
      <c r="B9" s="159" t="s">
        <v>7</v>
      </c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4" t="s">
        <v>8</v>
      </c>
    </row>
    <row r="10" spans="1:35" ht="27.6" customHeight="1" thickBot="1" x14ac:dyDescent="0.35">
      <c r="B10" s="160" t="s">
        <v>318</v>
      </c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</row>
    <row r="11" spans="1:35" ht="37.950000000000003" customHeight="1" x14ac:dyDescent="0.25">
      <c r="A11" s="161"/>
      <c r="B11" s="149" t="s">
        <v>10</v>
      </c>
      <c r="C11" s="151" t="s">
        <v>11</v>
      </c>
      <c r="D11" s="151" t="s">
        <v>12</v>
      </c>
      <c r="E11" s="151" t="s">
        <v>13</v>
      </c>
      <c r="F11" s="151" t="s">
        <v>14</v>
      </c>
      <c r="G11" s="151" t="s">
        <v>15</v>
      </c>
      <c r="H11" s="151" t="s">
        <v>16</v>
      </c>
      <c r="I11" s="151"/>
      <c r="J11" s="151"/>
      <c r="K11" s="151"/>
      <c r="L11" s="147" t="s">
        <v>17</v>
      </c>
      <c r="M11" s="147" t="s">
        <v>18</v>
      </c>
      <c r="N11" s="147" t="s">
        <v>19</v>
      </c>
      <c r="O11" s="145" t="s">
        <v>20</v>
      </c>
      <c r="P11" s="147" t="s">
        <v>21</v>
      </c>
      <c r="Q11" s="149"/>
      <c r="R11" s="151" t="s">
        <v>22</v>
      </c>
      <c r="S11" s="153" t="s">
        <v>319</v>
      </c>
    </row>
    <row r="12" spans="1:35" ht="64.95" customHeight="1" thickBot="1" x14ac:dyDescent="0.3">
      <c r="A12" s="162"/>
      <c r="B12" s="150"/>
      <c r="C12" s="152"/>
      <c r="D12" s="152"/>
      <c r="E12" s="152"/>
      <c r="F12" s="152"/>
      <c r="G12" s="152"/>
      <c r="H12" s="16" t="s">
        <v>24</v>
      </c>
      <c r="I12" s="17" t="s">
        <v>25</v>
      </c>
      <c r="J12" s="17" t="s">
        <v>26</v>
      </c>
      <c r="K12" s="16" t="s">
        <v>27</v>
      </c>
      <c r="L12" s="148"/>
      <c r="M12" s="148"/>
      <c r="N12" s="148"/>
      <c r="O12" s="146"/>
      <c r="P12" s="148"/>
      <c r="Q12" s="150"/>
      <c r="R12" s="152"/>
      <c r="S12" s="154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R14*10</f>
        <v>537500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R15*10</f>
        <v>225000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225000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5815</v>
      </c>
      <c r="F17" s="23"/>
      <c r="G17" s="23">
        <f>E17</f>
        <v>5815</v>
      </c>
      <c r="H17" s="23">
        <f>G17*0.5</f>
        <v>2907.5</v>
      </c>
      <c r="I17" s="23" t="s">
        <v>37</v>
      </c>
      <c r="J17" s="24"/>
      <c r="K17" s="22">
        <f>G17*0.3</f>
        <v>1744.5</v>
      </c>
      <c r="L17" s="23"/>
      <c r="M17" s="24"/>
      <c r="N17" s="23"/>
      <c r="O17" s="26">
        <f>G17*200%</f>
        <v>11630</v>
      </c>
      <c r="P17" s="24"/>
      <c r="Q17" s="22"/>
      <c r="R17" s="23">
        <f>N17+K17+H17+E17+L17+O17</f>
        <v>22097</v>
      </c>
      <c r="S17" s="25">
        <f t="shared" si="0"/>
        <v>220970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5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400000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5240*C19</f>
        <v>10480</v>
      </c>
      <c r="F19" s="23"/>
      <c r="G19" s="23">
        <f t="shared" si="1"/>
        <v>10480</v>
      </c>
      <c r="H19" s="23">
        <f t="shared" ref="H19:H26" si="2">G19*0.5</f>
        <v>5240</v>
      </c>
      <c r="I19" s="23"/>
      <c r="J19" s="23"/>
      <c r="K19" s="23"/>
      <c r="L19" s="23" t="s">
        <v>44</v>
      </c>
      <c r="M19" s="23"/>
      <c r="N19" s="23"/>
      <c r="O19" s="23">
        <f>10480*C19</f>
        <v>20960</v>
      </c>
      <c r="P19" s="23" t="s">
        <v>8</v>
      </c>
      <c r="Q19" s="23"/>
      <c r="R19" s="23">
        <f>G19+H19+O19</f>
        <v>36680</v>
      </c>
      <c r="S19" s="25">
        <f t="shared" si="0"/>
        <v>366800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8</v>
      </c>
      <c r="E20" s="23">
        <v>5240</v>
      </c>
      <c r="F20" s="23"/>
      <c r="G20" s="23">
        <f t="shared" si="1"/>
        <v>5240</v>
      </c>
      <c r="H20" s="23">
        <f t="shared" si="2"/>
        <v>2620</v>
      </c>
      <c r="I20" s="23"/>
      <c r="J20" s="23"/>
      <c r="K20" s="23"/>
      <c r="L20" s="23" t="s">
        <v>44</v>
      </c>
      <c r="M20" s="23"/>
      <c r="N20" s="23"/>
      <c r="O20" s="23">
        <v>10480</v>
      </c>
      <c r="P20" s="23" t="s">
        <v>8</v>
      </c>
      <c r="Q20" s="23"/>
      <c r="R20" s="23">
        <f>G20+H20+O20</f>
        <v>18340</v>
      </c>
      <c r="S20" s="25">
        <f t="shared" si="0"/>
        <v>183400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5240</v>
      </c>
      <c r="F21" s="22"/>
      <c r="G21" s="23">
        <f t="shared" si="1"/>
        <v>5240</v>
      </c>
      <c r="H21" s="23">
        <f t="shared" si="2"/>
        <v>2620</v>
      </c>
      <c r="I21" s="24"/>
      <c r="J21" s="24"/>
      <c r="K21" s="22"/>
      <c r="L21" s="24"/>
      <c r="M21" s="24"/>
      <c r="N21" s="23"/>
      <c r="O21" s="23">
        <f>G21*200%</f>
        <v>10480</v>
      </c>
      <c r="P21" s="24"/>
      <c r="Q21" s="22"/>
      <c r="R21" s="23">
        <f t="shared" ref="R21:R25" si="3">G21+H21+O21</f>
        <v>18340</v>
      </c>
      <c r="S21" s="25">
        <f t="shared" si="0"/>
        <v>183400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4633</v>
      </c>
      <c r="F22" s="22"/>
      <c r="G22" s="23">
        <f t="shared" si="1"/>
        <v>4633</v>
      </c>
      <c r="H22" s="22">
        <f t="shared" si="2"/>
        <v>2316.5</v>
      </c>
      <c r="I22" s="24"/>
      <c r="J22" s="24"/>
      <c r="K22" s="22"/>
      <c r="L22" s="24"/>
      <c r="M22" s="24"/>
      <c r="N22" s="23"/>
      <c r="O22" s="23">
        <f>G22*200%</f>
        <v>9266</v>
      </c>
      <c r="P22" s="24"/>
      <c r="Q22" s="22"/>
      <c r="R22" s="23">
        <f t="shared" si="3"/>
        <v>16215.5</v>
      </c>
      <c r="S22" s="25">
        <f t="shared" si="0"/>
        <v>162155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E22/2</f>
        <v>2316.5</v>
      </c>
      <c r="F23" s="22"/>
      <c r="G23" s="23">
        <f t="shared" si="1"/>
        <v>2316.5</v>
      </c>
      <c r="H23" s="22">
        <f t="shared" si="2"/>
        <v>1158.25</v>
      </c>
      <c r="I23" s="24"/>
      <c r="J23" s="24"/>
      <c r="K23" s="22"/>
      <c r="L23" s="24"/>
      <c r="M23" s="24"/>
      <c r="N23" s="23"/>
      <c r="O23" s="23">
        <f>G23*150%</f>
        <v>3474.75</v>
      </c>
      <c r="P23" s="24"/>
      <c r="Q23" s="22"/>
      <c r="R23" s="23">
        <f t="shared" si="3"/>
        <v>6949.5</v>
      </c>
      <c r="S23" s="25">
        <f t="shared" si="0"/>
        <v>69495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4058</v>
      </c>
      <c r="F24" s="22"/>
      <c r="G24" s="23">
        <f t="shared" si="1"/>
        <v>4058</v>
      </c>
      <c r="H24" s="22">
        <f t="shared" si="2"/>
        <v>2029</v>
      </c>
      <c r="I24" s="24"/>
      <c r="J24" s="24"/>
      <c r="K24" s="22"/>
      <c r="L24" s="24"/>
      <c r="M24" s="24"/>
      <c r="N24" s="23"/>
      <c r="O24" s="23">
        <f>G24*200%</f>
        <v>8116</v>
      </c>
      <c r="P24" s="24"/>
      <c r="Q24" s="22"/>
      <c r="R24" s="23">
        <f t="shared" si="3"/>
        <v>14203</v>
      </c>
      <c r="S24" s="25">
        <f t="shared" si="0"/>
        <v>142030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5527</v>
      </c>
      <c r="F25" s="23"/>
      <c r="G25" s="23">
        <f t="shared" si="1"/>
        <v>5527</v>
      </c>
      <c r="H25" s="23">
        <f t="shared" si="2"/>
        <v>2763.5</v>
      </c>
      <c r="I25" s="23"/>
      <c r="J25" s="23"/>
      <c r="K25" s="23"/>
      <c r="L25" s="23"/>
      <c r="M25" s="23"/>
      <c r="N25" s="23"/>
      <c r="O25" s="23">
        <f>G25*150%</f>
        <v>8290.5</v>
      </c>
      <c r="P25" s="23"/>
      <c r="Q25" s="23"/>
      <c r="R25" s="23">
        <f t="shared" si="3"/>
        <v>16581</v>
      </c>
      <c r="S25" s="25">
        <f t="shared" si="0"/>
        <v>165810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4058*C26</f>
        <v>4058</v>
      </c>
      <c r="F26" s="22"/>
      <c r="G26" s="23">
        <f t="shared" si="1"/>
        <v>4058</v>
      </c>
      <c r="H26" s="22">
        <f t="shared" si="2"/>
        <v>2029</v>
      </c>
      <c r="I26" s="24"/>
      <c r="J26" s="24"/>
      <c r="K26" s="22"/>
      <c r="L26" s="24"/>
      <c r="M26" s="24"/>
      <c r="N26" s="23"/>
      <c r="O26" s="23">
        <f>G26*150%</f>
        <v>6087</v>
      </c>
      <c r="P26" s="24"/>
      <c r="Q26" s="22"/>
      <c r="R26" s="23">
        <f>G26+H26+O26</f>
        <v>12174</v>
      </c>
      <c r="S26" s="25">
        <f t="shared" si="0"/>
        <v>121740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137367.5</v>
      </c>
      <c r="F27" s="34"/>
      <c r="G27" s="35">
        <f>SUM(G14:G26)</f>
        <v>137367.5</v>
      </c>
      <c r="H27" s="34">
        <f>SUM(H14:H26)</f>
        <v>23683.75</v>
      </c>
      <c r="I27" s="90"/>
      <c r="J27" s="90"/>
      <c r="K27" s="34">
        <f>SUM(K14:K26)</f>
        <v>1744.5</v>
      </c>
      <c r="L27" s="90"/>
      <c r="M27" s="34">
        <f>SUM(M14:M26)</f>
        <v>3750</v>
      </c>
      <c r="N27" s="35"/>
      <c r="O27" s="35">
        <f>SUM(O14:O26)</f>
        <v>133784.25</v>
      </c>
      <c r="P27" s="90"/>
      <c r="Q27" s="34"/>
      <c r="R27" s="35">
        <f>SUM(R14:R26)</f>
        <v>300330</v>
      </c>
      <c r="S27" s="36">
        <f>SUM(S14:S26)</f>
        <v>3003300</v>
      </c>
    </row>
    <row r="28" spans="1:19" s="13" customFormat="1" ht="19.8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93"/>
    </row>
    <row r="29" spans="1:19" x14ac:dyDescent="0.25">
      <c r="A29" s="20" t="s">
        <v>61</v>
      </c>
      <c r="B29" s="21" t="s">
        <v>62</v>
      </c>
      <c r="C29" s="22">
        <v>1</v>
      </c>
      <c r="D29" s="22">
        <v>7</v>
      </c>
      <c r="E29" s="23">
        <v>4920</v>
      </c>
      <c r="F29" s="22"/>
      <c r="G29" s="23">
        <f t="shared" ref="G29:G31" si="4">E29+F29</f>
        <v>4920</v>
      </c>
      <c r="H29" s="23"/>
      <c r="I29" s="23"/>
      <c r="J29" s="23"/>
      <c r="K29" s="23"/>
      <c r="L29" s="23"/>
      <c r="M29" s="23"/>
      <c r="N29" s="23"/>
      <c r="O29" s="23"/>
      <c r="P29" s="23">
        <f>8000*C29-G29</f>
        <v>3080</v>
      </c>
      <c r="Q29" s="23"/>
      <c r="R29" s="23">
        <f>G29+H29+I29+ J29+K29+L29+N29+O29+P29</f>
        <v>8000</v>
      </c>
      <c r="S29" s="25">
        <f>R29*10</f>
        <v>80000</v>
      </c>
    </row>
    <row r="30" spans="1:19" x14ac:dyDescent="0.25">
      <c r="A30" s="20" t="s">
        <v>63</v>
      </c>
      <c r="B30" s="21" t="s">
        <v>64</v>
      </c>
      <c r="C30" s="22">
        <v>1</v>
      </c>
      <c r="D30" s="22">
        <v>1</v>
      </c>
      <c r="E30" s="23">
        <v>3195</v>
      </c>
      <c r="F30" s="22"/>
      <c r="G30" s="23">
        <f t="shared" si="4"/>
        <v>3195</v>
      </c>
      <c r="H30" s="23"/>
      <c r="I30" s="23"/>
      <c r="J30" s="23"/>
      <c r="K30" s="23"/>
      <c r="L30" s="23"/>
      <c r="M30" s="23"/>
      <c r="N30" s="23"/>
      <c r="O30" s="23"/>
      <c r="P30" s="23">
        <f>8000-G30</f>
        <v>4805</v>
      </c>
      <c r="Q30" s="23"/>
      <c r="R30" s="23">
        <f t="shared" ref="R30:R31" si="5">G30+H30+I30+ J30+K30+L30+N30+O30+P30</f>
        <v>8000</v>
      </c>
      <c r="S30" s="25">
        <f t="shared" ref="S30:S36" si="6">R30*10</f>
        <v>80000</v>
      </c>
    </row>
    <row r="31" spans="1:19" x14ac:dyDescent="0.25">
      <c r="A31" s="20" t="s">
        <v>65</v>
      </c>
      <c r="B31" s="21" t="s">
        <v>66</v>
      </c>
      <c r="C31" s="22">
        <v>1</v>
      </c>
      <c r="D31" s="22">
        <v>1</v>
      </c>
      <c r="E31" s="23">
        <v>3195</v>
      </c>
      <c r="F31" s="22"/>
      <c r="G31" s="23">
        <f t="shared" si="4"/>
        <v>3195</v>
      </c>
      <c r="H31" s="23"/>
      <c r="I31" s="23"/>
      <c r="J31" s="23"/>
      <c r="K31" s="23"/>
      <c r="L31" s="23"/>
      <c r="M31" s="23"/>
      <c r="N31" s="23"/>
      <c r="O31" s="23"/>
      <c r="P31" s="23">
        <f t="shared" ref="P31" si="7">8000-G31</f>
        <v>4805</v>
      </c>
      <c r="Q31" s="23"/>
      <c r="R31" s="23">
        <f t="shared" si="5"/>
        <v>8000</v>
      </c>
      <c r="S31" s="25">
        <f t="shared" si="6"/>
        <v>80000</v>
      </c>
    </row>
    <row r="32" spans="1:19" x14ac:dyDescent="0.25">
      <c r="A32" s="20" t="s">
        <v>67</v>
      </c>
      <c r="B32" s="21" t="s">
        <v>68</v>
      </c>
      <c r="C32" s="22">
        <v>1.5</v>
      </c>
      <c r="D32" s="22">
        <v>3</v>
      </c>
      <c r="E32" s="23">
        <f>3770*C32</f>
        <v>5655</v>
      </c>
      <c r="F32" s="22"/>
      <c r="G32" s="23">
        <f t="shared" si="1"/>
        <v>5655</v>
      </c>
      <c r="H32" s="23"/>
      <c r="I32" s="23"/>
      <c r="J32" s="23"/>
      <c r="K32" s="23"/>
      <c r="L32" s="23"/>
      <c r="M32" s="23"/>
      <c r="N32" s="23"/>
      <c r="O32" s="23"/>
      <c r="P32" s="23">
        <f>8000*C32-G32</f>
        <v>6345</v>
      </c>
      <c r="Q32" s="23"/>
      <c r="R32" s="23">
        <f>G32+H32+I32+ J32+K32+L32+N32+O32+P32</f>
        <v>12000</v>
      </c>
      <c r="S32" s="25">
        <f t="shared" si="6"/>
        <v>120000</v>
      </c>
    </row>
    <row r="33" spans="1:19" ht="24" x14ac:dyDescent="0.25">
      <c r="A33" s="20" t="s">
        <v>67</v>
      </c>
      <c r="B33" s="21" t="s">
        <v>315</v>
      </c>
      <c r="C33" s="22">
        <v>0.5</v>
      </c>
      <c r="D33" s="22">
        <v>3</v>
      </c>
      <c r="E33" s="23">
        <f>3770*C33</f>
        <v>1885</v>
      </c>
      <c r="F33" s="22"/>
      <c r="G33" s="23">
        <f t="shared" si="1"/>
        <v>1885</v>
      </c>
      <c r="H33" s="23"/>
      <c r="I33" s="23"/>
      <c r="J33" s="23"/>
      <c r="K33" s="23"/>
      <c r="L33" s="23"/>
      <c r="M33" s="23"/>
      <c r="N33" s="23"/>
      <c r="O33" s="23"/>
      <c r="P33" s="23">
        <f>8000*C33-G33</f>
        <v>2115</v>
      </c>
      <c r="Q33" s="23"/>
      <c r="R33" s="23">
        <f>G33+H33+I33+ J33+K33+L33+N33+O33+P33</f>
        <v>4000</v>
      </c>
      <c r="S33" s="25">
        <f t="shared" si="6"/>
        <v>40000</v>
      </c>
    </row>
    <row r="34" spans="1:19" ht="12.6" customHeight="1" x14ac:dyDescent="0.25">
      <c r="A34" s="20" t="s">
        <v>69</v>
      </c>
      <c r="B34" s="21" t="s">
        <v>70</v>
      </c>
      <c r="C34" s="22">
        <v>1</v>
      </c>
      <c r="D34" s="22">
        <v>2</v>
      </c>
      <c r="E34" s="23">
        <v>3483</v>
      </c>
      <c r="F34" s="22">
        <f>E34*0.2</f>
        <v>696.6</v>
      </c>
      <c r="G34" s="23">
        <f t="shared" si="1"/>
        <v>4179.6000000000004</v>
      </c>
      <c r="H34" s="23"/>
      <c r="I34" s="23"/>
      <c r="J34" s="23">
        <f>G34*4%</f>
        <v>167.18400000000003</v>
      </c>
      <c r="K34" s="23"/>
      <c r="L34" s="23"/>
      <c r="M34" s="23"/>
      <c r="N34" s="23"/>
      <c r="O34" s="23"/>
      <c r="P34" s="23">
        <f>8000-E34</f>
        <v>4517</v>
      </c>
      <c r="Q34" s="23"/>
      <c r="R34" s="23">
        <f>G34+J34+P34</f>
        <v>8863.7839999999997</v>
      </c>
      <c r="S34" s="25">
        <f t="shared" si="6"/>
        <v>88637.84</v>
      </c>
    </row>
    <row r="35" spans="1:19" ht="18" customHeight="1" x14ac:dyDescent="0.25">
      <c r="A35" s="20" t="s">
        <v>71</v>
      </c>
      <c r="B35" s="21" t="s">
        <v>72</v>
      </c>
      <c r="C35" s="22">
        <v>1</v>
      </c>
      <c r="D35" s="22">
        <v>1</v>
      </c>
      <c r="E35" s="23">
        <v>3195</v>
      </c>
      <c r="F35" s="22"/>
      <c r="G35" s="23">
        <f t="shared" si="1"/>
        <v>3195</v>
      </c>
      <c r="H35" s="23"/>
      <c r="I35" s="23"/>
      <c r="J35" s="23"/>
      <c r="K35" s="23"/>
      <c r="L35" s="23"/>
      <c r="M35" s="23"/>
      <c r="N35" s="23"/>
      <c r="O35" s="23"/>
      <c r="P35" s="23">
        <f>8000-G35</f>
        <v>4805</v>
      </c>
      <c r="Q35" s="23"/>
      <c r="R35" s="23">
        <f t="shared" ref="R35" si="8">G35+H35+I35+ J35+K35+L35+N35+O35+P35</f>
        <v>8000</v>
      </c>
      <c r="S35" s="25">
        <f t="shared" si="6"/>
        <v>80000</v>
      </c>
    </row>
    <row r="36" spans="1:19" x14ac:dyDescent="0.25">
      <c r="A36" s="20" t="s">
        <v>73</v>
      </c>
      <c r="B36" s="21" t="s">
        <v>74</v>
      </c>
      <c r="C36" s="22">
        <v>1</v>
      </c>
      <c r="D36" s="22">
        <v>5</v>
      </c>
      <c r="E36" s="23">
        <v>4345</v>
      </c>
      <c r="F36" s="23"/>
      <c r="G36" s="23">
        <f>E36+F36</f>
        <v>4345</v>
      </c>
      <c r="H36" s="23"/>
      <c r="I36" s="23"/>
      <c r="J36" s="23"/>
      <c r="K36" s="23"/>
      <c r="L36" s="23"/>
      <c r="M36" s="23"/>
      <c r="N36" s="23"/>
      <c r="O36" s="23"/>
      <c r="P36" s="23">
        <f>8000-G36</f>
        <v>3655</v>
      </c>
      <c r="Q36" s="32"/>
      <c r="R36" s="23">
        <f>G36+P36</f>
        <v>8000</v>
      </c>
      <c r="S36" s="25">
        <f t="shared" si="6"/>
        <v>80000</v>
      </c>
    </row>
    <row r="37" spans="1:19" s="27" customFormat="1" ht="20.399999999999999" customHeight="1" thickBot="1" x14ac:dyDescent="0.3">
      <c r="A37" s="64"/>
      <c r="B37" s="47" t="s">
        <v>59</v>
      </c>
      <c r="C37" s="34">
        <f>SUM(C29:C36)</f>
        <v>8</v>
      </c>
      <c r="D37" s="34"/>
      <c r="E37" s="35">
        <f>SUM(E29:E36)</f>
        <v>29873</v>
      </c>
      <c r="F37" s="34">
        <f>SUM(F29:F36)</f>
        <v>696.6</v>
      </c>
      <c r="G37" s="35">
        <f>E37+F37</f>
        <v>30569.599999999999</v>
      </c>
      <c r="H37" s="35"/>
      <c r="I37" s="35">
        <f>SUM(I29:I35)</f>
        <v>0</v>
      </c>
      <c r="J37" s="35">
        <f>SUM(J29:J35)</f>
        <v>167.18400000000003</v>
      </c>
      <c r="K37" s="35"/>
      <c r="L37" s="35"/>
      <c r="M37" s="35"/>
      <c r="N37" s="35"/>
      <c r="O37" s="35"/>
      <c r="P37" s="35">
        <f>SUM(P29:P36)</f>
        <v>34127</v>
      </c>
      <c r="Q37" s="35"/>
      <c r="R37" s="35">
        <f>SUM(R29:R36)</f>
        <v>64863.784</v>
      </c>
      <c r="S37" s="36">
        <f>SUM(S29:S36)</f>
        <v>648637.84</v>
      </c>
    </row>
    <row r="38" spans="1:19" ht="19.8" customHeight="1" x14ac:dyDescent="0.25">
      <c r="A38" s="18"/>
      <c r="B38" s="86" t="s">
        <v>75</v>
      </c>
      <c r="C38" s="85"/>
      <c r="D38" s="85"/>
      <c r="E38" s="85"/>
      <c r="F38" s="85"/>
      <c r="G38" s="94"/>
      <c r="H38" s="85" t="s">
        <v>76</v>
      </c>
      <c r="I38" s="95"/>
      <c r="J38" s="95"/>
      <c r="K38" s="85"/>
      <c r="L38" s="95"/>
      <c r="M38" s="95"/>
      <c r="N38" s="95"/>
      <c r="O38" s="95"/>
      <c r="P38" s="95"/>
      <c r="Q38" s="85"/>
      <c r="R38" s="85"/>
      <c r="S38" s="96"/>
    </row>
    <row r="39" spans="1:19" s="13" customFormat="1" x14ac:dyDescent="0.2">
      <c r="A39" s="28" t="s">
        <v>77</v>
      </c>
      <c r="B39" s="21" t="s">
        <v>78</v>
      </c>
      <c r="C39" s="22">
        <v>2.5</v>
      </c>
      <c r="D39" s="22">
        <v>2</v>
      </c>
      <c r="E39" s="23">
        <f>3483*C39</f>
        <v>8707.5</v>
      </c>
      <c r="F39" s="22"/>
      <c r="G39" s="23">
        <f t="shared" ref="G39:G40" si="9">E39+F39</f>
        <v>8707.5</v>
      </c>
      <c r="H39" s="23"/>
      <c r="I39" s="23"/>
      <c r="J39" s="23"/>
      <c r="K39" s="23"/>
      <c r="L39" s="23"/>
      <c r="M39" s="23"/>
      <c r="N39" s="23"/>
      <c r="O39" s="23"/>
      <c r="P39" s="23">
        <f>8000*C39-G39</f>
        <v>11292.5</v>
      </c>
      <c r="Q39" s="23"/>
      <c r="R39" s="23">
        <f t="shared" ref="R39" si="10">G39+H39+I39+ J39+K39+L39+N39+O39+P39</f>
        <v>20000</v>
      </c>
      <c r="S39" s="25">
        <f>R39*10</f>
        <v>200000</v>
      </c>
    </row>
    <row r="40" spans="1:19" s="37" customFormat="1" ht="20.399999999999999" customHeight="1" thickBot="1" x14ac:dyDescent="0.3">
      <c r="A40" s="33"/>
      <c r="B40" s="34" t="s">
        <v>59</v>
      </c>
      <c r="C40" s="34">
        <f>SUM(C39:C39)</f>
        <v>2.5</v>
      </c>
      <c r="D40" s="34"/>
      <c r="E40" s="35">
        <f>SUM(E39:E39)</f>
        <v>8707.5</v>
      </c>
      <c r="F40" s="34"/>
      <c r="G40" s="35">
        <f t="shared" si="9"/>
        <v>8707.5</v>
      </c>
      <c r="H40" s="35"/>
      <c r="I40" s="35"/>
      <c r="J40" s="35"/>
      <c r="K40" s="35"/>
      <c r="L40" s="35"/>
      <c r="M40" s="35"/>
      <c r="N40" s="35"/>
      <c r="O40" s="35"/>
      <c r="P40" s="35">
        <f>SUM(P39:P39)</f>
        <v>11292.5</v>
      </c>
      <c r="Q40" s="35"/>
      <c r="R40" s="35">
        <f>SUM(G40:Q40)</f>
        <v>20000</v>
      </c>
      <c r="S40" s="36">
        <f>SUM(S39:S39)</f>
        <v>200000</v>
      </c>
    </row>
    <row r="41" spans="1:19" s="38" customFormat="1" ht="26.4" customHeight="1" x14ac:dyDescent="0.25">
      <c r="A41" s="18"/>
      <c r="B41" s="86" t="s">
        <v>79</v>
      </c>
      <c r="C41" s="86"/>
      <c r="D41" s="86"/>
      <c r="E41" s="86"/>
      <c r="F41" s="86"/>
      <c r="G41" s="94"/>
      <c r="H41" s="86"/>
      <c r="I41" s="19"/>
      <c r="J41" s="19"/>
      <c r="K41" s="86"/>
      <c r="L41" s="19"/>
      <c r="M41" s="19"/>
      <c r="N41" s="19"/>
      <c r="O41" s="19"/>
      <c r="P41" s="19"/>
      <c r="Q41" s="86"/>
      <c r="R41" s="86"/>
      <c r="S41" s="87"/>
    </row>
    <row r="42" spans="1:19" s="38" customFormat="1" ht="16.95" customHeight="1" x14ac:dyDescent="0.25">
      <c r="A42" s="20" t="s">
        <v>80</v>
      </c>
      <c r="B42" s="21" t="s">
        <v>64</v>
      </c>
      <c r="C42" s="22">
        <v>0.5</v>
      </c>
      <c r="D42" s="22">
        <v>1</v>
      </c>
      <c r="E42" s="22">
        <v>1597.5</v>
      </c>
      <c r="F42" s="22"/>
      <c r="G42" s="22">
        <v>1597.5</v>
      </c>
      <c r="H42" s="22"/>
      <c r="I42" s="24"/>
      <c r="J42" s="24"/>
      <c r="K42" s="22"/>
      <c r="L42" s="24"/>
      <c r="M42" s="24"/>
      <c r="N42" s="24"/>
      <c r="O42" s="24"/>
      <c r="P42" s="23">
        <f>8000/2-G42</f>
        <v>2402.5</v>
      </c>
      <c r="Q42" s="22"/>
      <c r="R42" s="23">
        <f t="shared" ref="R42" si="11">G42+H42+I42+ J42+K42+L42+N42+O42+P42</f>
        <v>4000</v>
      </c>
      <c r="S42" s="25">
        <f>R42*10</f>
        <v>40000</v>
      </c>
    </row>
    <row r="43" spans="1:19" x14ac:dyDescent="0.25">
      <c r="A43" s="20" t="s">
        <v>81</v>
      </c>
      <c r="B43" s="21" t="s">
        <v>82</v>
      </c>
      <c r="C43" s="22">
        <v>2</v>
      </c>
      <c r="D43" s="22">
        <v>4</v>
      </c>
      <c r="E43" s="23">
        <f>4058*C43</f>
        <v>8116</v>
      </c>
      <c r="F43" s="22"/>
      <c r="G43" s="23">
        <f t="shared" ref="G43:G44" si="12">E43+F43</f>
        <v>8116</v>
      </c>
      <c r="H43" s="23"/>
      <c r="I43" s="23"/>
      <c r="J43" s="23">
        <f>G43*0.04</f>
        <v>324.64</v>
      </c>
      <c r="K43" s="23"/>
      <c r="L43" s="23"/>
      <c r="M43" s="23"/>
      <c r="N43" s="23"/>
      <c r="O43" s="23"/>
      <c r="P43" s="23">
        <f>8000*C43-G43</f>
        <v>7884</v>
      </c>
      <c r="Q43" s="23"/>
      <c r="R43" s="23">
        <f>SUM(G43:P43)</f>
        <v>16324.64</v>
      </c>
      <c r="S43" s="25">
        <f t="shared" ref="S43:S44" si="13">R43*10</f>
        <v>163246.39999999999</v>
      </c>
    </row>
    <row r="44" spans="1:19" x14ac:dyDescent="0.25">
      <c r="A44" s="20" t="s">
        <v>83</v>
      </c>
      <c r="B44" s="21" t="s">
        <v>84</v>
      </c>
      <c r="C44" s="22">
        <v>2</v>
      </c>
      <c r="D44" s="22">
        <v>1</v>
      </c>
      <c r="E44" s="23">
        <f>3195*C44</f>
        <v>6390</v>
      </c>
      <c r="F44" s="22"/>
      <c r="G44" s="23">
        <f t="shared" si="12"/>
        <v>6390</v>
      </c>
      <c r="H44" s="23"/>
      <c r="I44" s="23">
        <f>G44*0.1</f>
        <v>639</v>
      </c>
      <c r="J44" s="23"/>
      <c r="K44" s="23"/>
      <c r="L44" s="23"/>
      <c r="M44" s="23"/>
      <c r="N44" s="23"/>
      <c r="O44" s="23"/>
      <c r="P44" s="23">
        <f>8000*C44-G44</f>
        <v>9610</v>
      </c>
      <c r="Q44" s="23"/>
      <c r="R44" s="23">
        <f>SUM(G44:P44)</f>
        <v>16639</v>
      </c>
      <c r="S44" s="25">
        <f t="shared" si="13"/>
        <v>166390</v>
      </c>
    </row>
    <row r="45" spans="1:19" s="37" customFormat="1" ht="22.8" customHeight="1" thickBot="1" x14ac:dyDescent="0.3">
      <c r="A45" s="33"/>
      <c r="B45" s="34" t="s">
        <v>59</v>
      </c>
      <c r="C45" s="34">
        <f>SUM(C42:C44)</f>
        <v>4.5</v>
      </c>
      <c r="D45" s="34"/>
      <c r="E45" s="35">
        <f>SUM(E42:E44)</f>
        <v>16103.5</v>
      </c>
      <c r="F45" s="34"/>
      <c r="G45" s="35">
        <f>SUM(G42:G44)</f>
        <v>16103.5</v>
      </c>
      <c r="H45" s="35"/>
      <c r="I45" s="35">
        <f>SUM(I44:I44)</f>
        <v>639</v>
      </c>
      <c r="J45" s="35">
        <f>SUM(J43:J44)</f>
        <v>324.64</v>
      </c>
      <c r="K45" s="35"/>
      <c r="L45" s="35"/>
      <c r="M45" s="35"/>
      <c r="N45" s="35"/>
      <c r="O45" s="35"/>
      <c r="P45" s="35">
        <f>SUM(P42:P44)</f>
        <v>19896.5</v>
      </c>
      <c r="Q45" s="35"/>
      <c r="R45" s="35">
        <f>SUM(R42:R44)</f>
        <v>36963.64</v>
      </c>
      <c r="S45" s="36">
        <f>SUM(S42:S44)</f>
        <v>369636.4</v>
      </c>
    </row>
    <row r="46" spans="1:19" s="39" customFormat="1" ht="22.8" customHeight="1" x14ac:dyDescent="0.25">
      <c r="A46" s="98" t="s">
        <v>316</v>
      </c>
      <c r="B46" s="99" t="s">
        <v>85</v>
      </c>
      <c r="C46" s="100"/>
      <c r="D46" s="100"/>
      <c r="E46" s="101"/>
      <c r="F46" s="100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2"/>
    </row>
    <row r="47" spans="1:19" s="42" customFormat="1" x14ac:dyDescent="0.25">
      <c r="A47" s="43" t="s">
        <v>86</v>
      </c>
      <c r="B47" s="21" t="s">
        <v>87</v>
      </c>
      <c r="C47" s="22">
        <v>0.5</v>
      </c>
      <c r="D47" s="22">
        <v>10</v>
      </c>
      <c r="E47" s="23">
        <f>5815*C47</f>
        <v>2907.5</v>
      </c>
      <c r="F47" s="22"/>
      <c r="G47" s="23">
        <f>E47</f>
        <v>2907.5</v>
      </c>
      <c r="H47" s="23"/>
      <c r="I47" s="23"/>
      <c r="J47" s="40"/>
      <c r="K47" s="23">
        <f>G47*0.3</f>
        <v>872.25</v>
      </c>
      <c r="L47" s="41">
        <f>20000*C47-G47-K47</f>
        <v>6220.25</v>
      </c>
      <c r="M47" s="23"/>
      <c r="N47" s="23"/>
      <c r="O47" s="23"/>
      <c r="P47" s="23"/>
      <c r="Q47" s="23"/>
      <c r="R47" s="23">
        <f>G47+K47+L47</f>
        <v>10000</v>
      </c>
      <c r="S47" s="25">
        <f>R47*10</f>
        <v>100000</v>
      </c>
    </row>
    <row r="48" spans="1:19" s="42" customFormat="1" x14ac:dyDescent="0.25">
      <c r="A48" s="43" t="s">
        <v>88</v>
      </c>
      <c r="B48" s="21" t="s">
        <v>89</v>
      </c>
      <c r="C48" s="22">
        <v>3</v>
      </c>
      <c r="D48" s="22">
        <v>9</v>
      </c>
      <c r="E48" s="23">
        <f>5527*C48</f>
        <v>16581</v>
      </c>
      <c r="F48" s="22"/>
      <c r="G48" s="23">
        <f>E48</f>
        <v>16581</v>
      </c>
      <c r="H48" s="23"/>
      <c r="I48" s="23"/>
      <c r="J48" s="40"/>
      <c r="K48" s="23"/>
      <c r="L48" s="41">
        <f>15000*C48-G48-K48</f>
        <v>28419</v>
      </c>
      <c r="M48" s="23"/>
      <c r="N48" s="23"/>
      <c r="O48" s="23"/>
      <c r="P48" s="23"/>
      <c r="Q48" s="23"/>
      <c r="R48" s="23">
        <f>G48+K48+L48</f>
        <v>45000</v>
      </c>
      <c r="S48" s="25">
        <f t="shared" ref="S48:S52" si="14">R48*10</f>
        <v>450000</v>
      </c>
    </row>
    <row r="49" spans="1:20" s="42" customFormat="1" x14ac:dyDescent="0.25">
      <c r="A49" s="43" t="s">
        <v>90</v>
      </c>
      <c r="B49" s="21" t="s">
        <v>91</v>
      </c>
      <c r="C49" s="22">
        <v>1</v>
      </c>
      <c r="D49" s="22">
        <v>10</v>
      </c>
      <c r="E49" s="23">
        <v>5815</v>
      </c>
      <c r="F49" s="22"/>
      <c r="G49" s="23">
        <v>5815</v>
      </c>
      <c r="H49" s="23"/>
      <c r="I49" s="23"/>
      <c r="J49" s="40"/>
      <c r="K49" s="23">
        <f>G49*0.3</f>
        <v>1744.5</v>
      </c>
      <c r="L49" s="41">
        <f>13500-G49-K49</f>
        <v>5940.5</v>
      </c>
      <c r="M49" s="23"/>
      <c r="N49" s="23"/>
      <c r="O49" s="23"/>
      <c r="P49" s="23"/>
      <c r="Q49" s="23"/>
      <c r="R49" s="23">
        <f>G49+K49+L49</f>
        <v>13500</v>
      </c>
      <c r="S49" s="25">
        <f t="shared" si="14"/>
        <v>135000</v>
      </c>
    </row>
    <row r="50" spans="1:20" s="42" customFormat="1" x14ac:dyDescent="0.25">
      <c r="A50" s="43" t="s">
        <v>92</v>
      </c>
      <c r="B50" s="21" t="s">
        <v>93</v>
      </c>
      <c r="C50" s="22">
        <v>1</v>
      </c>
      <c r="D50" s="22">
        <v>4</v>
      </c>
      <c r="E50" s="23">
        <v>4058</v>
      </c>
      <c r="F50" s="22"/>
      <c r="G50" s="23">
        <v>4058</v>
      </c>
      <c r="H50" s="23"/>
      <c r="I50" s="23"/>
      <c r="J50" s="40"/>
      <c r="K50" s="23"/>
      <c r="L50" s="23"/>
      <c r="M50" s="23"/>
      <c r="N50" s="23"/>
      <c r="O50" s="23">
        <f>G50*200%</f>
        <v>8116</v>
      </c>
      <c r="P50" s="23"/>
      <c r="Q50" s="23"/>
      <c r="R50" s="23">
        <f>O50+G50</f>
        <v>12174</v>
      </c>
      <c r="S50" s="25">
        <f t="shared" si="14"/>
        <v>121740</v>
      </c>
    </row>
    <row r="51" spans="1:20" s="42" customFormat="1" x14ac:dyDescent="0.25">
      <c r="A51" s="43" t="s">
        <v>94</v>
      </c>
      <c r="B51" s="21" t="s">
        <v>95</v>
      </c>
      <c r="C51" s="22">
        <v>1</v>
      </c>
      <c r="D51" s="22">
        <v>5</v>
      </c>
      <c r="E51" s="23">
        <v>4345</v>
      </c>
      <c r="F51" s="23"/>
      <c r="G51" s="23">
        <f>E51+F51</f>
        <v>4345</v>
      </c>
      <c r="H51" s="23"/>
      <c r="I51" s="23"/>
      <c r="J51" s="23"/>
      <c r="K51" s="23"/>
      <c r="L51" s="23"/>
      <c r="M51" s="23"/>
      <c r="N51" s="23"/>
      <c r="O51" s="23"/>
      <c r="P51" s="23">
        <f>8000-G51</f>
        <v>3655</v>
      </c>
      <c r="Q51" s="32"/>
      <c r="R51" s="23">
        <f>G51+P51</f>
        <v>8000</v>
      </c>
      <c r="S51" s="25">
        <f t="shared" si="14"/>
        <v>80000</v>
      </c>
    </row>
    <row r="52" spans="1:20" x14ac:dyDescent="0.25">
      <c r="A52" s="43" t="s">
        <v>96</v>
      </c>
      <c r="B52" s="21" t="s">
        <v>97</v>
      </c>
      <c r="C52" s="22">
        <v>0.5</v>
      </c>
      <c r="D52" s="22">
        <v>9</v>
      </c>
      <c r="E52" s="23">
        <v>2763.5</v>
      </c>
      <c r="F52" s="22"/>
      <c r="G52" s="23">
        <f t="shared" ref="G52" si="15">E52+F52</f>
        <v>2763.5</v>
      </c>
      <c r="H52" s="23"/>
      <c r="I52" s="23"/>
      <c r="J52" s="23"/>
      <c r="K52" s="23">
        <f>G52*0.3</f>
        <v>829.05</v>
      </c>
      <c r="L52" s="23">
        <f>6750-G52-K52</f>
        <v>3157.45</v>
      </c>
      <c r="M52" s="23"/>
      <c r="N52" s="23"/>
      <c r="O52" s="23"/>
      <c r="P52" s="23"/>
      <c r="Q52" s="23"/>
      <c r="R52" s="23">
        <f>L52+K52+G52</f>
        <v>6750</v>
      </c>
      <c r="S52" s="25">
        <f t="shared" si="14"/>
        <v>67500</v>
      </c>
    </row>
    <row r="53" spans="1:20" s="45" customFormat="1" thickBot="1" x14ac:dyDescent="0.25">
      <c r="A53" s="103"/>
      <c r="B53" s="104" t="s">
        <v>59</v>
      </c>
      <c r="C53" s="105">
        <f>SUM(C47:C52)</f>
        <v>7</v>
      </c>
      <c r="D53" s="105"/>
      <c r="E53" s="106">
        <f>SUM(E47:E52)</f>
        <v>36470</v>
      </c>
      <c r="F53" s="105"/>
      <c r="G53" s="106">
        <f>SUM(G47:G52)</f>
        <v>36470</v>
      </c>
      <c r="H53" s="106"/>
      <c r="I53" s="106"/>
      <c r="J53" s="106"/>
      <c r="K53" s="106">
        <f>SUM(K47:K52)</f>
        <v>3445.8</v>
      </c>
      <c r="L53" s="106">
        <f>SUM(L47:L52)</f>
        <v>43737.2</v>
      </c>
      <c r="M53" s="106"/>
      <c r="N53" s="106"/>
      <c r="O53" s="106">
        <f>SUM(O47:O51)</f>
        <v>8116</v>
      </c>
      <c r="P53" s="106">
        <f>SUM(P47:P52)</f>
        <v>3655</v>
      </c>
      <c r="Q53" s="106"/>
      <c r="R53" s="106">
        <f>SUM(R47:R52)</f>
        <v>95424</v>
      </c>
      <c r="S53" s="107">
        <f>SUM(S47:S52)</f>
        <v>954240</v>
      </c>
    </row>
    <row r="54" spans="1:20" s="38" customFormat="1" ht="17.399999999999999" customHeight="1" x14ac:dyDescent="0.25">
      <c r="A54" s="108"/>
      <c r="B54" s="86" t="s">
        <v>98</v>
      </c>
      <c r="C54" s="85"/>
      <c r="D54" s="85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109"/>
      <c r="R54" s="94"/>
      <c r="S54" s="110"/>
      <c r="T54" s="46"/>
    </row>
    <row r="55" spans="1:20" s="38" customFormat="1" x14ac:dyDescent="0.25">
      <c r="A55" s="43" t="s">
        <v>99</v>
      </c>
      <c r="B55" s="21" t="s">
        <v>100</v>
      </c>
      <c r="C55" s="22">
        <v>0.5</v>
      </c>
      <c r="D55" s="22">
        <v>14</v>
      </c>
      <c r="E55" s="23">
        <f>7732*C55</f>
        <v>3866</v>
      </c>
      <c r="F55" s="23">
        <f>E55*10%</f>
        <v>386.6</v>
      </c>
      <c r="G55" s="23">
        <f>E55+F55</f>
        <v>4252.6000000000004</v>
      </c>
      <c r="H55" s="23"/>
      <c r="I55" s="23"/>
      <c r="J55" s="23"/>
      <c r="K55" s="23">
        <f>G55*0.3</f>
        <v>1275.78</v>
      </c>
      <c r="L55" s="23">
        <f>20000*C55-G55-K55</f>
        <v>4471.62</v>
      </c>
      <c r="M55" s="23"/>
      <c r="N55" s="23"/>
      <c r="O55" s="23"/>
      <c r="P55" s="23"/>
      <c r="Q55" s="32"/>
      <c r="R55" s="23">
        <f>G55+K55+L55</f>
        <v>10000</v>
      </c>
      <c r="S55" s="25">
        <f>R55*10</f>
        <v>100000</v>
      </c>
      <c r="T55" s="46"/>
    </row>
    <row r="56" spans="1:20" s="38" customFormat="1" x14ac:dyDescent="0.25">
      <c r="A56" s="43" t="s">
        <v>101</v>
      </c>
      <c r="B56" s="21" t="s">
        <v>102</v>
      </c>
      <c r="C56" s="22">
        <v>0.5</v>
      </c>
      <c r="D56" s="22">
        <v>13</v>
      </c>
      <c r="E56" s="23">
        <v>3626</v>
      </c>
      <c r="F56" s="23">
        <f>E56*0.15</f>
        <v>543.9</v>
      </c>
      <c r="G56" s="23">
        <f>E56+F56</f>
        <v>4169.8999999999996</v>
      </c>
      <c r="H56" s="23"/>
      <c r="I56" s="23"/>
      <c r="J56" s="23"/>
      <c r="K56" s="23">
        <f>G56*0.3</f>
        <v>1250.9699999999998</v>
      </c>
      <c r="L56" s="23">
        <f>20000*C56-G56-K56</f>
        <v>4579.130000000001</v>
      </c>
      <c r="M56" s="23"/>
      <c r="N56" s="23"/>
      <c r="O56" s="23"/>
      <c r="P56" s="23"/>
      <c r="Q56" s="32"/>
      <c r="R56" s="23">
        <f>G56+K56+L56</f>
        <v>10000</v>
      </c>
      <c r="S56" s="25">
        <f t="shared" ref="S56:S58" si="16">R56*10</f>
        <v>100000</v>
      </c>
      <c r="T56" s="46"/>
    </row>
    <row r="57" spans="1:20" s="38" customFormat="1" x14ac:dyDescent="0.25">
      <c r="A57" s="43" t="s">
        <v>103</v>
      </c>
      <c r="B57" s="21" t="s">
        <v>104</v>
      </c>
      <c r="C57" s="22">
        <v>0.5</v>
      </c>
      <c r="D57" s="22">
        <v>13</v>
      </c>
      <c r="E57" s="23">
        <v>3626</v>
      </c>
      <c r="F57" s="23">
        <f>E57*0.15</f>
        <v>543.9</v>
      </c>
      <c r="G57" s="23">
        <f>E57+F57</f>
        <v>4169.8999999999996</v>
      </c>
      <c r="H57" s="23"/>
      <c r="I57" s="23"/>
      <c r="J57" s="23"/>
      <c r="K57" s="23">
        <f>G57*0.3</f>
        <v>1250.9699999999998</v>
      </c>
      <c r="L57" s="23">
        <f>10000-G57-K57</f>
        <v>4579.130000000001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si="16"/>
        <v>100000</v>
      </c>
      <c r="T57" s="46"/>
    </row>
    <row r="58" spans="1:20" s="38" customFormat="1" x14ac:dyDescent="0.25">
      <c r="A58" s="43" t="s">
        <v>105</v>
      </c>
      <c r="B58" s="21" t="s">
        <v>106</v>
      </c>
      <c r="C58" s="22">
        <v>1</v>
      </c>
      <c r="D58" s="22">
        <v>5</v>
      </c>
      <c r="E58" s="23">
        <v>4345</v>
      </c>
      <c r="F58" s="23"/>
      <c r="G58" s="23">
        <f>E58+F58</f>
        <v>4345</v>
      </c>
      <c r="H58" s="23"/>
      <c r="I58" s="23"/>
      <c r="J58" s="23"/>
      <c r="K58" s="23"/>
      <c r="L58" s="23"/>
      <c r="M58" s="23"/>
      <c r="N58" s="23"/>
      <c r="O58" s="23"/>
      <c r="P58" s="23">
        <f>8000-G58</f>
        <v>3655</v>
      </c>
      <c r="Q58" s="32"/>
      <c r="R58" s="23">
        <f>G58+P58</f>
        <v>8000</v>
      </c>
      <c r="S58" s="25">
        <f t="shared" si="16"/>
        <v>80000</v>
      </c>
      <c r="T58" s="46"/>
    </row>
    <row r="59" spans="1:20" s="49" customFormat="1" ht="13.8" thickBot="1" x14ac:dyDescent="0.3">
      <c r="A59" s="64"/>
      <c r="B59" s="47" t="s">
        <v>59</v>
      </c>
      <c r="C59" s="34">
        <v>2.5</v>
      </c>
      <c r="D59" s="34"/>
      <c r="E59" s="35">
        <f>SUM(E55:E58)</f>
        <v>15463</v>
      </c>
      <c r="F59" s="35">
        <f t="shared" ref="F59" si="17">SUM(F55:F58)</f>
        <v>1474.4</v>
      </c>
      <c r="G59" s="35">
        <f>SUM(G55:G58)</f>
        <v>16937.400000000001</v>
      </c>
      <c r="H59" s="35"/>
      <c r="I59" s="35"/>
      <c r="J59" s="35"/>
      <c r="K59" s="35">
        <f t="shared" ref="K59:L59" si="18">SUM(K55:K58)</f>
        <v>3777.72</v>
      </c>
      <c r="L59" s="35">
        <f t="shared" si="18"/>
        <v>13629.880000000001</v>
      </c>
      <c r="M59" s="35"/>
      <c r="N59" s="35"/>
      <c r="O59" s="35"/>
      <c r="P59" s="35">
        <f t="shared" ref="P59:Q59" si="19">SUM(P55:P58)</f>
        <v>3655</v>
      </c>
      <c r="Q59" s="35">
        <f t="shared" si="19"/>
        <v>0</v>
      </c>
      <c r="R59" s="35">
        <f>SUM(G59:Q59)</f>
        <v>38000</v>
      </c>
      <c r="S59" s="36">
        <f>SUM(S55:S58)</f>
        <v>380000</v>
      </c>
      <c r="T59" s="48"/>
    </row>
    <row r="60" spans="1:20" ht="24" customHeight="1" x14ac:dyDescent="0.25">
      <c r="A60" s="18"/>
      <c r="B60" s="86" t="s">
        <v>107</v>
      </c>
      <c r="C60" s="86"/>
      <c r="D60" s="86"/>
      <c r="E60" s="92"/>
      <c r="F60" s="86"/>
      <c r="G60" s="94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3"/>
    </row>
    <row r="61" spans="1:20" s="13" customFormat="1" ht="38.4" customHeight="1" x14ac:dyDescent="0.2">
      <c r="A61" s="28"/>
      <c r="B61" s="29" t="s">
        <v>108</v>
      </c>
      <c r="C61" s="22"/>
      <c r="D61" s="22"/>
      <c r="E61" s="23"/>
      <c r="F61" s="22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5"/>
    </row>
    <row r="62" spans="1:20" ht="13.95" customHeight="1" x14ac:dyDescent="0.25">
      <c r="A62" s="20" t="s">
        <v>109</v>
      </c>
      <c r="B62" s="21" t="s">
        <v>110</v>
      </c>
      <c r="C62" s="22">
        <v>1</v>
      </c>
      <c r="D62" s="22">
        <v>11</v>
      </c>
      <c r="E62" s="23">
        <v>6294</v>
      </c>
      <c r="F62" s="22">
        <f>E62*0.25</f>
        <v>1573.5</v>
      </c>
      <c r="G62" s="23">
        <f t="shared" ref="G62:G120" si="20">E62+F62</f>
        <v>7867.5</v>
      </c>
      <c r="H62" s="23"/>
      <c r="I62" s="23"/>
      <c r="J62" s="23"/>
      <c r="K62" s="23">
        <f>G62*0.3</f>
        <v>2360.25</v>
      </c>
      <c r="L62" s="41">
        <f>20000-G62-K62</f>
        <v>9772.25</v>
      </c>
      <c r="M62" s="23"/>
      <c r="N62" s="23"/>
      <c r="O62" s="23"/>
      <c r="P62" s="23"/>
      <c r="Q62" s="23"/>
      <c r="R62" s="23">
        <f t="shared" ref="R62:R74" si="21">G62+K62+L62</f>
        <v>20000</v>
      </c>
      <c r="S62" s="25">
        <f>R62*10</f>
        <v>200000</v>
      </c>
    </row>
    <row r="63" spans="1:20" x14ac:dyDescent="0.25">
      <c r="A63" s="20" t="s">
        <v>111</v>
      </c>
      <c r="B63" s="21" t="s">
        <v>112</v>
      </c>
      <c r="C63" s="22">
        <v>1.25</v>
      </c>
      <c r="D63" s="22">
        <v>12</v>
      </c>
      <c r="E63" s="23">
        <f>6773*C63</f>
        <v>8466.25</v>
      </c>
      <c r="F63" s="22"/>
      <c r="G63" s="23">
        <f t="shared" si="20"/>
        <v>8466.25</v>
      </c>
      <c r="H63" s="23"/>
      <c r="I63" s="23"/>
      <c r="J63" s="23"/>
      <c r="K63" s="23">
        <f t="shared" ref="K63:K76" si="22">G63*0.3</f>
        <v>2539.875</v>
      </c>
      <c r="L63" s="23">
        <f>20000*C63-G63-K63</f>
        <v>13993.875</v>
      </c>
      <c r="M63" s="23"/>
      <c r="N63" s="23"/>
      <c r="O63" s="23"/>
      <c r="P63" s="23"/>
      <c r="Q63" s="23"/>
      <c r="R63" s="23">
        <f t="shared" si="21"/>
        <v>25000</v>
      </c>
      <c r="S63" s="25">
        <f t="shared" ref="S63:S79" si="23">R63*10</f>
        <v>250000</v>
      </c>
    </row>
    <row r="64" spans="1:20" x14ac:dyDescent="0.25">
      <c r="A64" s="20" t="s">
        <v>113</v>
      </c>
      <c r="B64" s="21" t="s">
        <v>114</v>
      </c>
      <c r="C64" s="22">
        <v>1</v>
      </c>
      <c r="D64" s="22">
        <v>14</v>
      </c>
      <c r="E64" s="23">
        <v>7732</v>
      </c>
      <c r="F64" s="22"/>
      <c r="G64" s="23">
        <f t="shared" si="20"/>
        <v>7732</v>
      </c>
      <c r="H64" s="23"/>
      <c r="I64" s="23"/>
      <c r="J64" s="23"/>
      <c r="K64" s="23">
        <f t="shared" si="22"/>
        <v>2319.6</v>
      </c>
      <c r="L64" s="41">
        <f>20000-G64-K64</f>
        <v>9948.4</v>
      </c>
      <c r="M64" s="23"/>
      <c r="N64" s="23"/>
      <c r="O64" s="23"/>
      <c r="P64" s="23"/>
      <c r="Q64" s="23"/>
      <c r="R64" s="23">
        <f t="shared" si="21"/>
        <v>20000</v>
      </c>
      <c r="S64" s="25">
        <f t="shared" si="23"/>
        <v>200000</v>
      </c>
    </row>
    <row r="65" spans="1:20" x14ac:dyDescent="0.25">
      <c r="A65" s="20" t="s">
        <v>115</v>
      </c>
      <c r="B65" s="21" t="s">
        <v>116</v>
      </c>
      <c r="C65" s="22">
        <v>0.5</v>
      </c>
      <c r="D65" s="22">
        <v>14</v>
      </c>
      <c r="E65" s="23">
        <v>3868</v>
      </c>
      <c r="F65" s="22"/>
      <c r="G65" s="23">
        <f t="shared" si="20"/>
        <v>3868</v>
      </c>
      <c r="H65" s="23"/>
      <c r="I65" s="23"/>
      <c r="J65" s="23"/>
      <c r="K65" s="23">
        <f t="shared" si="22"/>
        <v>1160.3999999999999</v>
      </c>
      <c r="L65" s="41">
        <f>20000/2-G65-K65</f>
        <v>4971.6000000000004</v>
      </c>
      <c r="M65" s="23"/>
      <c r="N65" s="23"/>
      <c r="O65" s="23"/>
      <c r="P65" s="23"/>
      <c r="Q65" s="23"/>
      <c r="R65" s="23">
        <f t="shared" si="21"/>
        <v>10000</v>
      </c>
      <c r="S65" s="25">
        <f t="shared" si="23"/>
        <v>100000</v>
      </c>
    </row>
    <row r="66" spans="1:20" x14ac:dyDescent="0.25">
      <c r="A66" s="20" t="s">
        <v>117</v>
      </c>
      <c r="B66" s="21" t="s">
        <v>118</v>
      </c>
      <c r="C66" s="22">
        <v>0.25</v>
      </c>
      <c r="D66" s="22">
        <v>14</v>
      </c>
      <c r="E66" s="23">
        <f>7732*C66</f>
        <v>1933</v>
      </c>
      <c r="F66" s="22"/>
      <c r="G66" s="23">
        <f t="shared" si="20"/>
        <v>1933</v>
      </c>
      <c r="H66" s="23"/>
      <c r="I66" s="23"/>
      <c r="J66" s="23"/>
      <c r="K66" s="23">
        <f t="shared" si="22"/>
        <v>579.9</v>
      </c>
      <c r="L66" s="41">
        <f>20000*C66-G66-K66</f>
        <v>2487.1</v>
      </c>
      <c r="M66" s="23"/>
      <c r="N66" s="23"/>
      <c r="O66" s="23"/>
      <c r="P66" s="23"/>
      <c r="Q66" s="23"/>
      <c r="R66" s="23">
        <f t="shared" si="21"/>
        <v>5000</v>
      </c>
      <c r="S66" s="25">
        <f t="shared" si="23"/>
        <v>50000</v>
      </c>
    </row>
    <row r="67" spans="1:20" x14ac:dyDescent="0.25">
      <c r="A67" s="20" t="s">
        <v>119</v>
      </c>
      <c r="B67" s="21" t="s">
        <v>120</v>
      </c>
      <c r="C67" s="22">
        <v>2.75</v>
      </c>
      <c r="D67" s="22">
        <v>13</v>
      </c>
      <c r="E67" s="23">
        <f>7253*C67</f>
        <v>19945.75</v>
      </c>
      <c r="F67" s="22"/>
      <c r="G67" s="23">
        <f t="shared" si="20"/>
        <v>19945.75</v>
      </c>
      <c r="H67" s="23"/>
      <c r="I67" s="23"/>
      <c r="J67" s="23"/>
      <c r="K67" s="23">
        <f t="shared" si="22"/>
        <v>5983.7249999999995</v>
      </c>
      <c r="L67" s="41">
        <f t="shared" ref="L67:L72" si="24">20000*C67-G67-K67-N67</f>
        <v>26652.835000000003</v>
      </c>
      <c r="M67" s="23"/>
      <c r="N67" s="23">
        <f>879.16*C67</f>
        <v>2417.69</v>
      </c>
      <c r="O67" s="23"/>
      <c r="P67" s="23"/>
      <c r="Q67" s="23"/>
      <c r="R67" s="23">
        <f t="shared" ref="R67:R72" si="25">G67+K67+L67+N67</f>
        <v>55000</v>
      </c>
      <c r="S67" s="25">
        <f t="shared" si="23"/>
        <v>550000</v>
      </c>
    </row>
    <row r="68" spans="1:20" x14ac:dyDescent="0.25">
      <c r="A68" s="20" t="s">
        <v>119</v>
      </c>
      <c r="B68" s="21" t="s">
        <v>121</v>
      </c>
      <c r="C68" s="22">
        <v>0.5</v>
      </c>
      <c r="D68" s="22">
        <v>14</v>
      </c>
      <c r="E68" s="23">
        <f>7732*C68</f>
        <v>3866</v>
      </c>
      <c r="F68" s="22"/>
      <c r="G68" s="23">
        <f t="shared" si="20"/>
        <v>3866</v>
      </c>
      <c r="H68" s="23"/>
      <c r="I68" s="23"/>
      <c r="J68" s="23"/>
      <c r="K68" s="23">
        <f t="shared" si="22"/>
        <v>1159.8</v>
      </c>
      <c r="L68" s="41">
        <f t="shared" si="24"/>
        <v>4505.5999999999995</v>
      </c>
      <c r="M68" s="23"/>
      <c r="N68" s="23">
        <v>468.6</v>
      </c>
      <c r="O68" s="23"/>
      <c r="P68" s="23"/>
      <c r="Q68" s="23"/>
      <c r="R68" s="23">
        <f t="shared" si="25"/>
        <v>10000</v>
      </c>
      <c r="S68" s="25">
        <f t="shared" si="23"/>
        <v>100000</v>
      </c>
    </row>
    <row r="69" spans="1:20" x14ac:dyDescent="0.25">
      <c r="A69" s="20" t="s">
        <v>119</v>
      </c>
      <c r="B69" s="21" t="s">
        <v>122</v>
      </c>
      <c r="C69" s="22">
        <v>0.25</v>
      </c>
      <c r="D69" s="22">
        <v>14</v>
      </c>
      <c r="E69" s="23">
        <f>7732*C69</f>
        <v>1933</v>
      </c>
      <c r="F69" s="22"/>
      <c r="G69" s="23">
        <f t="shared" si="20"/>
        <v>1933</v>
      </c>
      <c r="H69" s="23"/>
      <c r="I69" s="23"/>
      <c r="J69" s="23"/>
      <c r="K69" s="23">
        <f t="shared" si="22"/>
        <v>579.9</v>
      </c>
      <c r="L69" s="41">
        <f t="shared" si="24"/>
        <v>2252.7999999999997</v>
      </c>
      <c r="M69" s="23"/>
      <c r="N69" s="23">
        <v>234.3</v>
      </c>
      <c r="O69" s="23"/>
      <c r="P69" s="23"/>
      <c r="Q69" s="23"/>
      <c r="R69" s="23">
        <f t="shared" si="25"/>
        <v>5000</v>
      </c>
      <c r="S69" s="25">
        <f t="shared" si="23"/>
        <v>50000</v>
      </c>
    </row>
    <row r="70" spans="1:20" x14ac:dyDescent="0.25">
      <c r="A70" s="20" t="s">
        <v>119</v>
      </c>
      <c r="B70" s="21" t="s">
        <v>123</v>
      </c>
      <c r="C70" s="22">
        <v>0.25</v>
      </c>
      <c r="D70" s="22">
        <v>14</v>
      </c>
      <c r="E70" s="23">
        <f>7732*C70</f>
        <v>1933</v>
      </c>
      <c r="F70" s="22"/>
      <c r="G70" s="23">
        <f t="shared" si="20"/>
        <v>1933</v>
      </c>
      <c r="H70" s="23"/>
      <c r="I70" s="23"/>
      <c r="J70" s="23"/>
      <c r="K70" s="23">
        <f t="shared" si="22"/>
        <v>579.9</v>
      </c>
      <c r="L70" s="41">
        <f t="shared" si="24"/>
        <v>2252.7999999999997</v>
      </c>
      <c r="M70" s="23"/>
      <c r="N70" s="23">
        <v>234.3</v>
      </c>
      <c r="O70" s="23"/>
      <c r="P70" s="23"/>
      <c r="Q70" s="23"/>
      <c r="R70" s="23">
        <f t="shared" si="25"/>
        <v>5000</v>
      </c>
      <c r="S70" s="25">
        <f t="shared" si="23"/>
        <v>50000</v>
      </c>
    </row>
    <row r="71" spans="1:20" x14ac:dyDescent="0.25">
      <c r="A71" s="20" t="s">
        <v>119</v>
      </c>
      <c r="B71" s="21" t="s">
        <v>124</v>
      </c>
      <c r="C71" s="22">
        <v>1</v>
      </c>
      <c r="D71" s="22">
        <v>14</v>
      </c>
      <c r="E71" s="23">
        <f>7732*C71</f>
        <v>7732</v>
      </c>
      <c r="F71" s="22"/>
      <c r="G71" s="23">
        <f t="shared" si="20"/>
        <v>7732</v>
      </c>
      <c r="H71" s="23"/>
      <c r="I71" s="23"/>
      <c r="J71" s="23"/>
      <c r="K71" s="23">
        <f t="shared" si="22"/>
        <v>2319.6</v>
      </c>
      <c r="L71" s="41">
        <f t="shared" si="24"/>
        <v>9011.1999999999989</v>
      </c>
      <c r="M71" s="23"/>
      <c r="N71" s="23">
        <v>937.2</v>
      </c>
      <c r="O71" s="23"/>
      <c r="P71" s="23"/>
      <c r="Q71" s="23"/>
      <c r="R71" s="23">
        <f t="shared" si="25"/>
        <v>20000</v>
      </c>
      <c r="S71" s="25">
        <f t="shared" si="23"/>
        <v>200000</v>
      </c>
    </row>
    <row r="72" spans="1:20" x14ac:dyDescent="0.25">
      <c r="A72" s="20" t="s">
        <v>119</v>
      </c>
      <c r="B72" s="21" t="s">
        <v>125</v>
      </c>
      <c r="C72" s="22">
        <v>0.5</v>
      </c>
      <c r="D72" s="22">
        <v>13</v>
      </c>
      <c r="E72" s="23">
        <f>7253*C72</f>
        <v>3626.5</v>
      </c>
      <c r="F72" s="22"/>
      <c r="G72" s="23">
        <f t="shared" si="20"/>
        <v>3626.5</v>
      </c>
      <c r="H72" s="23"/>
      <c r="I72" s="23"/>
      <c r="J72" s="23"/>
      <c r="K72" s="23">
        <f t="shared" si="22"/>
        <v>1087.95</v>
      </c>
      <c r="L72" s="41">
        <f t="shared" si="24"/>
        <v>4845.97</v>
      </c>
      <c r="M72" s="23"/>
      <c r="N72" s="23">
        <f>879.16*C72</f>
        <v>439.58</v>
      </c>
      <c r="O72" s="23"/>
      <c r="P72" s="23"/>
      <c r="Q72" s="23"/>
      <c r="R72" s="23">
        <f t="shared" si="25"/>
        <v>10000</v>
      </c>
      <c r="S72" s="25">
        <f t="shared" si="23"/>
        <v>100000</v>
      </c>
    </row>
    <row r="73" spans="1:20" s="13" customFormat="1" x14ac:dyDescent="0.25">
      <c r="A73" s="20" t="s">
        <v>119</v>
      </c>
      <c r="B73" s="21" t="s">
        <v>126</v>
      </c>
      <c r="C73" s="22">
        <v>0.25</v>
      </c>
      <c r="D73" s="22">
        <v>14</v>
      </c>
      <c r="E73" s="23">
        <f>7732*C73</f>
        <v>1933</v>
      </c>
      <c r="F73" s="22"/>
      <c r="G73" s="23">
        <f>E73+F73</f>
        <v>1933</v>
      </c>
      <c r="H73" s="23"/>
      <c r="I73" s="23"/>
      <c r="J73" s="23"/>
      <c r="K73" s="23">
        <f t="shared" si="22"/>
        <v>579.9</v>
      </c>
      <c r="L73" s="23">
        <f>20000*C73-G73-K73</f>
        <v>2487.1</v>
      </c>
      <c r="M73" s="23"/>
      <c r="N73" s="23">
        <v>234.3</v>
      </c>
      <c r="O73" s="23"/>
      <c r="P73" s="23"/>
      <c r="Q73" s="23"/>
      <c r="R73" s="23">
        <f>G73+K73+L73</f>
        <v>5000</v>
      </c>
      <c r="S73" s="25">
        <f t="shared" si="23"/>
        <v>50000</v>
      </c>
      <c r="T73" s="52"/>
    </row>
    <row r="74" spans="1:20" x14ac:dyDescent="0.25">
      <c r="A74" s="20" t="s">
        <v>127</v>
      </c>
      <c r="B74" s="21" t="s">
        <v>128</v>
      </c>
      <c r="C74" s="22">
        <v>1</v>
      </c>
      <c r="D74" s="22">
        <v>9</v>
      </c>
      <c r="E74" s="23">
        <v>5527</v>
      </c>
      <c r="F74" s="22">
        <f>E74*0.1</f>
        <v>552.70000000000005</v>
      </c>
      <c r="G74" s="23">
        <f t="shared" si="20"/>
        <v>6079.7</v>
      </c>
      <c r="H74" s="23"/>
      <c r="I74" s="23"/>
      <c r="J74" s="23"/>
      <c r="K74" s="23">
        <f t="shared" si="22"/>
        <v>1823.9099999999999</v>
      </c>
      <c r="L74" s="41">
        <v>5596.39</v>
      </c>
      <c r="M74" s="23"/>
      <c r="N74" s="23"/>
      <c r="O74" s="23"/>
      <c r="P74" s="23"/>
      <c r="Q74" s="23"/>
      <c r="R74" s="23">
        <f t="shared" si="21"/>
        <v>13500</v>
      </c>
      <c r="S74" s="25">
        <f t="shared" si="23"/>
        <v>135000</v>
      </c>
    </row>
    <row r="75" spans="1:20" x14ac:dyDescent="0.25">
      <c r="A75" s="20" t="s">
        <v>129</v>
      </c>
      <c r="B75" s="21" t="s">
        <v>130</v>
      </c>
      <c r="C75" s="22">
        <v>10</v>
      </c>
      <c r="D75" s="22">
        <v>9</v>
      </c>
      <c r="E75" s="23">
        <f>5527*C75</f>
        <v>55270</v>
      </c>
      <c r="F75" s="22"/>
      <c r="G75" s="23">
        <f t="shared" si="20"/>
        <v>55270</v>
      </c>
      <c r="H75" s="23"/>
      <c r="I75" s="23">
        <f t="shared" ref="I75:I77" si="26">G75*0.1</f>
        <v>5527</v>
      </c>
      <c r="J75" s="23"/>
      <c r="K75" s="23">
        <f t="shared" si="22"/>
        <v>16581</v>
      </c>
      <c r="L75" s="41">
        <f>13500*C75-G75-I75-K75-N75</f>
        <v>50922.6</v>
      </c>
      <c r="M75" s="23"/>
      <c r="N75" s="23">
        <f>669.94*C75</f>
        <v>6699.4000000000005</v>
      </c>
      <c r="O75" s="23"/>
      <c r="P75" s="23"/>
      <c r="Q75" s="23"/>
      <c r="R75" s="23">
        <f>G75+I75+K75+L75+N75</f>
        <v>135000</v>
      </c>
      <c r="S75" s="25">
        <f t="shared" si="23"/>
        <v>1350000</v>
      </c>
    </row>
    <row r="76" spans="1:20" x14ac:dyDescent="0.25">
      <c r="A76" s="20" t="s">
        <v>131</v>
      </c>
      <c r="B76" s="21" t="s">
        <v>132</v>
      </c>
      <c r="C76" s="22">
        <v>1</v>
      </c>
      <c r="D76" s="22">
        <v>6</v>
      </c>
      <c r="E76" s="23">
        <v>4633</v>
      </c>
      <c r="F76" s="22"/>
      <c r="G76" s="23">
        <f t="shared" si="20"/>
        <v>4633</v>
      </c>
      <c r="H76" s="23"/>
      <c r="I76" s="23">
        <f t="shared" si="26"/>
        <v>463.3</v>
      </c>
      <c r="J76" s="23"/>
      <c r="K76" s="23">
        <f t="shared" si="22"/>
        <v>1389.8999999999999</v>
      </c>
      <c r="L76" s="41">
        <f t="shared" ref="L76" si="27">13500-G76-I76-K76</f>
        <v>7013.8000000000011</v>
      </c>
      <c r="M76" s="23"/>
      <c r="N76" s="23"/>
      <c r="O76" s="23"/>
      <c r="P76" s="23"/>
      <c r="Q76" s="23"/>
      <c r="R76" s="23">
        <f t="shared" ref="R76" si="28">G76+I76+K76+L76</f>
        <v>13500</v>
      </c>
      <c r="S76" s="25">
        <f t="shared" si="23"/>
        <v>135000</v>
      </c>
    </row>
    <row r="77" spans="1:20" x14ac:dyDescent="0.25">
      <c r="A77" s="20" t="s">
        <v>133</v>
      </c>
      <c r="B77" s="21" t="s">
        <v>134</v>
      </c>
      <c r="C77" s="22">
        <v>6</v>
      </c>
      <c r="D77" s="22">
        <v>4</v>
      </c>
      <c r="E77" s="23">
        <f>4058*C77</f>
        <v>24348</v>
      </c>
      <c r="F77" s="22"/>
      <c r="G77" s="23">
        <f t="shared" si="20"/>
        <v>24348</v>
      </c>
      <c r="H77" s="23"/>
      <c r="I77" s="23">
        <f t="shared" si="26"/>
        <v>2434.8000000000002</v>
      </c>
      <c r="J77" s="23"/>
      <c r="K77" s="23"/>
      <c r="L77" s="23"/>
      <c r="M77" s="23"/>
      <c r="N77" s="23">
        <f>475.33*C77</f>
        <v>2851.98</v>
      </c>
      <c r="O77" s="23"/>
      <c r="P77" s="23">
        <f>8000*C77-G77</f>
        <v>23652</v>
      </c>
      <c r="Q77" s="23"/>
      <c r="R77" s="23">
        <f>E77+I77+P77+N77</f>
        <v>53286.780000000006</v>
      </c>
      <c r="S77" s="25">
        <f t="shared" si="23"/>
        <v>532867.80000000005</v>
      </c>
    </row>
    <row r="78" spans="1:20" x14ac:dyDescent="0.25">
      <c r="A78" s="20" t="s">
        <v>135</v>
      </c>
      <c r="B78" s="21" t="s">
        <v>136</v>
      </c>
      <c r="C78" s="22">
        <v>1</v>
      </c>
      <c r="D78" s="22">
        <v>3</v>
      </c>
      <c r="E78" s="23">
        <v>3770</v>
      </c>
      <c r="F78" s="22"/>
      <c r="G78" s="23">
        <f t="shared" si="20"/>
        <v>3770</v>
      </c>
      <c r="H78" s="23"/>
      <c r="I78" s="23"/>
      <c r="J78" s="23"/>
      <c r="K78" s="23"/>
      <c r="L78" s="23"/>
      <c r="M78" s="23"/>
      <c r="N78" s="23"/>
      <c r="O78" s="23"/>
      <c r="P78" s="23">
        <f t="shared" ref="P78:P79" si="29">8000-G78</f>
        <v>4230</v>
      </c>
      <c r="Q78" s="23"/>
      <c r="R78" s="23">
        <f>G78+P78</f>
        <v>8000</v>
      </c>
      <c r="S78" s="25">
        <f t="shared" si="23"/>
        <v>80000</v>
      </c>
      <c r="T78" s="53"/>
    </row>
    <row r="79" spans="1:20" x14ac:dyDescent="0.25">
      <c r="A79" s="20" t="s">
        <v>137</v>
      </c>
      <c r="B79" s="21" t="s">
        <v>138</v>
      </c>
      <c r="C79" s="22">
        <v>1</v>
      </c>
      <c r="D79" s="22">
        <v>4</v>
      </c>
      <c r="E79" s="23">
        <v>4058</v>
      </c>
      <c r="F79" s="22"/>
      <c r="G79" s="23">
        <f t="shared" si="20"/>
        <v>4058</v>
      </c>
      <c r="H79" s="23"/>
      <c r="I79" s="23"/>
      <c r="J79" s="23"/>
      <c r="K79" s="23"/>
      <c r="L79" s="23"/>
      <c r="M79" s="23"/>
      <c r="N79" s="23"/>
      <c r="O79" s="23"/>
      <c r="P79" s="23">
        <f t="shared" si="29"/>
        <v>3942</v>
      </c>
      <c r="Q79" s="23"/>
      <c r="R79" s="23">
        <f>G79+P79</f>
        <v>8000</v>
      </c>
      <c r="S79" s="25">
        <f t="shared" si="23"/>
        <v>80000</v>
      </c>
      <c r="T79" s="53"/>
    </row>
    <row r="80" spans="1:20" s="27" customFormat="1" ht="24.6" customHeight="1" thickBot="1" x14ac:dyDescent="0.3">
      <c r="A80" s="64"/>
      <c r="B80" s="47" t="s">
        <v>59</v>
      </c>
      <c r="C80" s="34">
        <f>SUM(C62:C79)</f>
        <v>29.5</v>
      </c>
      <c r="D80" s="34"/>
      <c r="E80" s="35">
        <f>SUM(E62:E79)</f>
        <v>166868.5</v>
      </c>
      <c r="F80" s="34">
        <f>SUM(F62:F79)</f>
        <v>2126.1999999999998</v>
      </c>
      <c r="G80" s="35">
        <f>SUM(G62:G79)</f>
        <v>168994.7</v>
      </c>
      <c r="H80" s="35"/>
      <c r="I80" s="35">
        <f>SUM(I62:I79)</f>
        <v>8425.1</v>
      </c>
      <c r="J80" s="35"/>
      <c r="K80" s="35">
        <f>SUM(K62:K79)</f>
        <v>41045.610000000008</v>
      </c>
      <c r="L80" s="35">
        <f>SUM(L62:L79)</f>
        <v>156714.32</v>
      </c>
      <c r="M80" s="35"/>
      <c r="N80" s="35">
        <f>SUM(N67:N79)</f>
        <v>14517.35</v>
      </c>
      <c r="O80" s="35"/>
      <c r="P80" s="35">
        <f>SUM(P62:P79)</f>
        <v>31824</v>
      </c>
      <c r="Q80" s="35"/>
      <c r="R80" s="35">
        <f>SUM(R62:R79)</f>
        <v>421286.78</v>
      </c>
      <c r="S80" s="36">
        <f>SUM(S62:S79)</f>
        <v>4212867.8</v>
      </c>
      <c r="T80" s="54"/>
    </row>
    <row r="81" spans="1:20" s="13" customFormat="1" ht="27.6" customHeight="1" x14ac:dyDescent="0.2">
      <c r="A81" s="18"/>
      <c r="B81" s="55" t="s">
        <v>139</v>
      </c>
      <c r="C81" s="85"/>
      <c r="D81" s="85"/>
      <c r="E81" s="94"/>
      <c r="F81" s="85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110"/>
      <c r="T81" s="52"/>
    </row>
    <row r="82" spans="1:20" s="13" customFormat="1" x14ac:dyDescent="0.25">
      <c r="A82" s="20" t="s">
        <v>140</v>
      </c>
      <c r="B82" s="21" t="s">
        <v>100</v>
      </c>
      <c r="C82" s="22">
        <v>1</v>
      </c>
      <c r="D82" s="22">
        <v>12</v>
      </c>
      <c r="E82" s="23">
        <v>6773</v>
      </c>
      <c r="F82" s="22">
        <f>E82*0.25</f>
        <v>1693.25</v>
      </c>
      <c r="G82" s="23">
        <f t="shared" ref="G82:G108" si="30">E82+F82</f>
        <v>8466.25</v>
      </c>
      <c r="H82" s="23"/>
      <c r="I82" s="23"/>
      <c r="J82" s="23"/>
      <c r="K82" s="23">
        <f>G82*0.3</f>
        <v>2539.875</v>
      </c>
      <c r="L82" s="23">
        <f t="shared" ref="L82" si="31">20000-G82-K82</f>
        <v>8993.875</v>
      </c>
      <c r="M82" s="23"/>
      <c r="N82" s="23"/>
      <c r="O82" s="23"/>
      <c r="P82" s="23"/>
      <c r="Q82" s="23"/>
      <c r="R82" s="23">
        <f t="shared" ref="R82:R84" si="32">G82+K82+L82</f>
        <v>20000</v>
      </c>
      <c r="S82" s="25">
        <f>R82*10</f>
        <v>200000</v>
      </c>
      <c r="T82" s="52"/>
    </row>
    <row r="83" spans="1:20" s="13" customFormat="1" x14ac:dyDescent="0.25">
      <c r="A83" s="20" t="s">
        <v>141</v>
      </c>
      <c r="B83" s="21" t="s">
        <v>142</v>
      </c>
      <c r="C83" s="22">
        <v>1.5</v>
      </c>
      <c r="D83" s="22">
        <v>14</v>
      </c>
      <c r="E83" s="23">
        <v>11598</v>
      </c>
      <c r="F83" s="22"/>
      <c r="G83" s="23">
        <f t="shared" si="30"/>
        <v>11598</v>
      </c>
      <c r="H83" s="23"/>
      <c r="I83" s="23"/>
      <c r="J83" s="23"/>
      <c r="K83" s="23">
        <f t="shared" ref="K83:K106" si="33">G83*0.3</f>
        <v>3479.4</v>
      </c>
      <c r="L83" s="23">
        <f>30000-G83-K83</f>
        <v>14922.6</v>
      </c>
      <c r="M83" s="23"/>
      <c r="N83" s="23"/>
      <c r="O83" s="23"/>
      <c r="P83" s="23"/>
      <c r="Q83" s="23"/>
      <c r="R83" s="23">
        <f t="shared" si="32"/>
        <v>30000</v>
      </c>
      <c r="S83" s="25">
        <f t="shared" ref="S83:S108" si="34">R83*10</f>
        <v>300000</v>
      </c>
      <c r="T83" s="52"/>
    </row>
    <row r="84" spans="1:20" s="13" customFormat="1" x14ac:dyDescent="0.25">
      <c r="A84" s="20" t="s">
        <v>143</v>
      </c>
      <c r="B84" s="21" t="s">
        <v>144</v>
      </c>
      <c r="C84" s="22">
        <v>1</v>
      </c>
      <c r="D84" s="22">
        <v>12</v>
      </c>
      <c r="E84" s="23">
        <v>6773</v>
      </c>
      <c r="F84" s="23">
        <f>E84*0.15</f>
        <v>1015.9499999999999</v>
      </c>
      <c r="G84" s="23">
        <f t="shared" si="30"/>
        <v>7788.95</v>
      </c>
      <c r="H84" s="23"/>
      <c r="I84" s="23"/>
      <c r="J84" s="23"/>
      <c r="K84" s="23">
        <f t="shared" si="33"/>
        <v>2336.6849999999999</v>
      </c>
      <c r="L84" s="23">
        <f t="shared" ref="L84" si="35">20000-G84-K84</f>
        <v>9874.3649999999998</v>
      </c>
      <c r="M84" s="23"/>
      <c r="N84" s="23"/>
      <c r="O84" s="23"/>
      <c r="P84" s="23"/>
      <c r="Q84" s="23"/>
      <c r="R84" s="23">
        <f t="shared" si="32"/>
        <v>20000</v>
      </c>
      <c r="S84" s="25">
        <f t="shared" si="34"/>
        <v>200000</v>
      </c>
      <c r="T84" s="52"/>
    </row>
    <row r="85" spans="1:20" s="13" customFormat="1" x14ac:dyDescent="0.25">
      <c r="A85" s="20" t="s">
        <v>145</v>
      </c>
      <c r="B85" s="21" t="s">
        <v>146</v>
      </c>
      <c r="C85" s="22">
        <v>1</v>
      </c>
      <c r="D85" s="22">
        <v>11</v>
      </c>
      <c r="E85" s="23">
        <v>6294</v>
      </c>
      <c r="F85" s="22"/>
      <c r="G85" s="23">
        <f t="shared" si="30"/>
        <v>6294</v>
      </c>
      <c r="H85" s="23"/>
      <c r="I85" s="23"/>
      <c r="J85" s="23"/>
      <c r="K85" s="23">
        <f t="shared" si="33"/>
        <v>1888.1999999999998</v>
      </c>
      <c r="L85" s="23">
        <f>20000-G85-K85</f>
        <v>11817.8</v>
      </c>
      <c r="M85" s="23"/>
      <c r="N85" s="23"/>
      <c r="O85" s="23"/>
      <c r="P85" s="23"/>
      <c r="Q85" s="23"/>
      <c r="R85" s="23">
        <f>G85+K85+L85</f>
        <v>20000</v>
      </c>
      <c r="S85" s="25">
        <f t="shared" si="34"/>
        <v>200000</v>
      </c>
      <c r="T85" s="52"/>
    </row>
    <row r="86" spans="1:20" s="13" customFormat="1" x14ac:dyDescent="0.25">
      <c r="A86" s="20" t="s">
        <v>147</v>
      </c>
      <c r="B86" s="21" t="s">
        <v>148</v>
      </c>
      <c r="C86" s="22">
        <v>1</v>
      </c>
      <c r="D86" s="22">
        <v>11</v>
      </c>
      <c r="E86" s="23">
        <v>6294</v>
      </c>
      <c r="F86" s="22"/>
      <c r="G86" s="23">
        <f t="shared" si="30"/>
        <v>6294</v>
      </c>
      <c r="H86" s="23"/>
      <c r="I86" s="23"/>
      <c r="J86" s="23"/>
      <c r="K86" s="23">
        <f t="shared" si="33"/>
        <v>1888.1999999999998</v>
      </c>
      <c r="L86" s="23">
        <f t="shared" ref="L86" si="36">20000-G86-K86</f>
        <v>11817.8</v>
      </c>
      <c r="M86" s="23"/>
      <c r="N86" s="23"/>
      <c r="O86" s="23"/>
      <c r="P86" s="23"/>
      <c r="Q86" s="23"/>
      <c r="R86" s="23">
        <f t="shared" ref="R86:R100" si="37">G86+K86+L86</f>
        <v>20000</v>
      </c>
      <c r="S86" s="25">
        <f t="shared" si="34"/>
        <v>200000</v>
      </c>
      <c r="T86" s="52"/>
    </row>
    <row r="87" spans="1:20" s="13" customFormat="1" x14ac:dyDescent="0.25">
      <c r="A87" s="20" t="s">
        <v>149</v>
      </c>
      <c r="B87" s="21" t="s">
        <v>150</v>
      </c>
      <c r="C87" s="22">
        <v>0.5</v>
      </c>
      <c r="D87" s="22">
        <v>14</v>
      </c>
      <c r="E87" s="23">
        <f>7732*C87</f>
        <v>3866</v>
      </c>
      <c r="F87" s="22"/>
      <c r="G87" s="23">
        <f t="shared" si="30"/>
        <v>3866</v>
      </c>
      <c r="H87" s="23"/>
      <c r="I87" s="23"/>
      <c r="J87" s="23"/>
      <c r="K87" s="23">
        <f t="shared" si="33"/>
        <v>1159.8</v>
      </c>
      <c r="L87" s="23">
        <f>20000*C87-G87-K87</f>
        <v>4974.2</v>
      </c>
      <c r="M87" s="23"/>
      <c r="N87" s="23"/>
      <c r="O87" s="23"/>
      <c r="P87" s="23"/>
      <c r="Q87" s="23"/>
      <c r="R87" s="23">
        <f t="shared" si="37"/>
        <v>10000</v>
      </c>
      <c r="S87" s="25">
        <f t="shared" si="34"/>
        <v>100000</v>
      </c>
      <c r="T87" s="52"/>
    </row>
    <row r="88" spans="1:20" s="13" customFormat="1" x14ac:dyDescent="0.25">
      <c r="A88" s="20" t="s">
        <v>151</v>
      </c>
      <c r="B88" s="21" t="s">
        <v>104</v>
      </c>
      <c r="C88" s="22">
        <v>0.5</v>
      </c>
      <c r="D88" s="22">
        <v>11</v>
      </c>
      <c r="E88" s="23">
        <v>3147</v>
      </c>
      <c r="F88" s="23">
        <f>E88*0.15</f>
        <v>472.04999999999995</v>
      </c>
      <c r="G88" s="23">
        <f t="shared" si="30"/>
        <v>3619.05</v>
      </c>
      <c r="H88" s="23"/>
      <c r="I88" s="23"/>
      <c r="J88" s="23"/>
      <c r="K88" s="23">
        <f t="shared" si="33"/>
        <v>1085.7149999999999</v>
      </c>
      <c r="L88" s="23">
        <f>20000/2-G88-K88</f>
        <v>5295.2349999999997</v>
      </c>
      <c r="M88" s="23"/>
      <c r="N88" s="23"/>
      <c r="O88" s="23"/>
      <c r="P88" s="23"/>
      <c r="Q88" s="23"/>
      <c r="R88" s="23">
        <f t="shared" si="37"/>
        <v>10000</v>
      </c>
      <c r="S88" s="25">
        <f t="shared" si="34"/>
        <v>100000</v>
      </c>
      <c r="T88" s="52"/>
    </row>
    <row r="89" spans="1:20" s="13" customFormat="1" x14ac:dyDescent="0.25">
      <c r="A89" s="20" t="s">
        <v>152</v>
      </c>
      <c r="B89" s="21" t="s">
        <v>153</v>
      </c>
      <c r="C89" s="22">
        <v>2</v>
      </c>
      <c r="D89" s="22">
        <v>14</v>
      </c>
      <c r="E89" s="23">
        <f>7732*C89</f>
        <v>15464</v>
      </c>
      <c r="F89" s="23">
        <f>E89*0.15</f>
        <v>2319.6</v>
      </c>
      <c r="G89" s="23">
        <f t="shared" si="30"/>
        <v>17783.599999999999</v>
      </c>
      <c r="H89" s="23"/>
      <c r="I89" s="23"/>
      <c r="J89" s="23"/>
      <c r="K89" s="23">
        <f t="shared" si="33"/>
        <v>5335.079999999999</v>
      </c>
      <c r="L89" s="23">
        <f>20000*C89-G89-K89</f>
        <v>16881.320000000003</v>
      </c>
      <c r="M89" s="23"/>
      <c r="N89" s="23"/>
      <c r="O89" s="23"/>
      <c r="P89" s="23"/>
      <c r="Q89" s="23"/>
      <c r="R89" s="23">
        <f t="shared" si="37"/>
        <v>40000</v>
      </c>
      <c r="S89" s="25">
        <f t="shared" si="34"/>
        <v>400000</v>
      </c>
      <c r="T89" s="52"/>
    </row>
    <row r="90" spans="1:20" s="13" customFormat="1" x14ac:dyDescent="0.25">
      <c r="A90" s="20" t="s">
        <v>154</v>
      </c>
      <c r="B90" s="21" t="s">
        <v>155</v>
      </c>
      <c r="C90" s="22">
        <v>1</v>
      </c>
      <c r="D90" s="22">
        <v>13</v>
      </c>
      <c r="E90" s="23">
        <v>7253</v>
      </c>
      <c r="F90" s="22"/>
      <c r="G90" s="23">
        <f t="shared" si="30"/>
        <v>7253</v>
      </c>
      <c r="H90" s="23"/>
      <c r="I90" s="23"/>
      <c r="J90" s="23"/>
      <c r="K90" s="23">
        <f t="shared" si="33"/>
        <v>2175.9</v>
      </c>
      <c r="L90" s="23">
        <f>20000-G90-K90</f>
        <v>10571.1</v>
      </c>
      <c r="M90" s="23"/>
      <c r="N90" s="23"/>
      <c r="O90" s="23"/>
      <c r="P90" s="23"/>
      <c r="Q90" s="23"/>
      <c r="R90" s="23">
        <f t="shared" si="37"/>
        <v>20000</v>
      </c>
      <c r="S90" s="25">
        <f t="shared" si="34"/>
        <v>200000</v>
      </c>
      <c r="T90" s="52"/>
    </row>
    <row r="91" spans="1:20" x14ac:dyDescent="0.25">
      <c r="A91" s="20" t="s">
        <v>156</v>
      </c>
      <c r="B91" s="21" t="s">
        <v>157</v>
      </c>
      <c r="C91" s="22">
        <v>1</v>
      </c>
      <c r="D91" s="22">
        <v>14</v>
      </c>
      <c r="E91" s="23">
        <v>7732</v>
      </c>
      <c r="F91" s="23">
        <f>E91*0.15</f>
        <v>1159.8</v>
      </c>
      <c r="G91" s="23">
        <f t="shared" si="30"/>
        <v>8891.7999999999993</v>
      </c>
      <c r="H91" s="23"/>
      <c r="I91" s="23"/>
      <c r="J91" s="23"/>
      <c r="K91" s="23">
        <f t="shared" si="33"/>
        <v>2667.5399999999995</v>
      </c>
      <c r="L91" s="23">
        <f>20000-G91-K91</f>
        <v>8440.6600000000017</v>
      </c>
      <c r="M91" s="23"/>
      <c r="N91" s="23"/>
      <c r="O91" s="23"/>
      <c r="P91" s="23"/>
      <c r="Q91" s="23"/>
      <c r="R91" s="23">
        <f t="shared" si="37"/>
        <v>20000</v>
      </c>
      <c r="S91" s="25">
        <f t="shared" si="34"/>
        <v>200000</v>
      </c>
      <c r="T91" s="53"/>
    </row>
    <row r="92" spans="1:20" s="13" customFormat="1" x14ac:dyDescent="0.25">
      <c r="A92" s="20" t="s">
        <v>119</v>
      </c>
      <c r="B92" s="21" t="s">
        <v>158</v>
      </c>
      <c r="C92" s="22">
        <v>0.25</v>
      </c>
      <c r="D92" s="22">
        <v>14</v>
      </c>
      <c r="E92" s="23">
        <f>7732*C92</f>
        <v>1933</v>
      </c>
      <c r="F92" s="22"/>
      <c r="G92" s="23">
        <f>E92+F92</f>
        <v>1933</v>
      </c>
      <c r="H92" s="23"/>
      <c r="I92" s="23"/>
      <c r="J92" s="23"/>
      <c r="K92" s="23">
        <f t="shared" si="33"/>
        <v>579.9</v>
      </c>
      <c r="L92" s="23">
        <f>20000*C92-G92-K92</f>
        <v>2487.1</v>
      </c>
      <c r="M92" s="23"/>
      <c r="N92" s="23"/>
      <c r="O92" s="23"/>
      <c r="P92" s="23"/>
      <c r="Q92" s="23"/>
      <c r="R92" s="23">
        <f>G92+K92+L92</f>
        <v>5000</v>
      </c>
      <c r="S92" s="25">
        <f t="shared" si="34"/>
        <v>50000</v>
      </c>
      <c r="T92" s="52"/>
    </row>
    <row r="93" spans="1:20" s="13" customFormat="1" x14ac:dyDescent="0.25">
      <c r="A93" s="20" t="s">
        <v>159</v>
      </c>
      <c r="B93" s="21" t="s">
        <v>160</v>
      </c>
      <c r="C93" s="22">
        <v>0.5</v>
      </c>
      <c r="D93" s="22">
        <v>14</v>
      </c>
      <c r="E93" s="23">
        <v>3866</v>
      </c>
      <c r="F93" s="22"/>
      <c r="G93" s="23">
        <f t="shared" si="30"/>
        <v>3866</v>
      </c>
      <c r="H93" s="23"/>
      <c r="I93" s="23"/>
      <c r="J93" s="23"/>
      <c r="K93" s="23">
        <f t="shared" si="33"/>
        <v>1159.8</v>
      </c>
      <c r="L93" s="23">
        <f>20000/2-G93-K93</f>
        <v>4974.2</v>
      </c>
      <c r="M93" s="23"/>
      <c r="N93" s="23"/>
      <c r="O93" s="23"/>
      <c r="P93" s="23"/>
      <c r="Q93" s="23"/>
      <c r="R93" s="23">
        <f t="shared" si="37"/>
        <v>10000</v>
      </c>
      <c r="S93" s="25">
        <f t="shared" si="34"/>
        <v>100000</v>
      </c>
      <c r="T93" s="52"/>
    </row>
    <row r="94" spans="1:20" s="13" customFormat="1" x14ac:dyDescent="0.25">
      <c r="A94" s="20" t="s">
        <v>161</v>
      </c>
      <c r="B94" s="21" t="s">
        <v>162</v>
      </c>
      <c r="C94" s="22">
        <v>0.5</v>
      </c>
      <c r="D94" s="22">
        <v>11</v>
      </c>
      <c r="E94" s="23">
        <v>3147</v>
      </c>
      <c r="F94" s="22"/>
      <c r="G94" s="23">
        <f t="shared" si="30"/>
        <v>3147</v>
      </c>
      <c r="H94" s="23"/>
      <c r="I94" s="23"/>
      <c r="J94" s="23"/>
      <c r="K94" s="23">
        <f t="shared" si="33"/>
        <v>944.09999999999991</v>
      </c>
      <c r="L94" s="23">
        <f>20000/2-G94-K94</f>
        <v>5908.9</v>
      </c>
      <c r="M94" s="23"/>
      <c r="N94" s="23"/>
      <c r="O94" s="23"/>
      <c r="P94" s="23"/>
      <c r="Q94" s="23"/>
      <c r="R94" s="23">
        <f t="shared" si="37"/>
        <v>10000</v>
      </c>
      <c r="S94" s="25">
        <f t="shared" si="34"/>
        <v>100000</v>
      </c>
      <c r="T94" s="52"/>
    </row>
    <row r="95" spans="1:20" s="56" customFormat="1" x14ac:dyDescent="0.25">
      <c r="A95" s="20" t="s">
        <v>163</v>
      </c>
      <c r="B95" s="21" t="s">
        <v>164</v>
      </c>
      <c r="C95" s="22">
        <v>0.5</v>
      </c>
      <c r="D95" s="22">
        <v>14</v>
      </c>
      <c r="E95" s="23">
        <v>3866</v>
      </c>
      <c r="F95" s="22"/>
      <c r="G95" s="23">
        <f t="shared" si="30"/>
        <v>3866</v>
      </c>
      <c r="H95" s="23"/>
      <c r="I95" s="23"/>
      <c r="J95" s="23"/>
      <c r="K95" s="23">
        <f t="shared" si="33"/>
        <v>1159.8</v>
      </c>
      <c r="L95" s="23">
        <f>20000/2-G95-K95</f>
        <v>4974.2</v>
      </c>
      <c r="M95" s="23"/>
      <c r="N95" s="23"/>
      <c r="O95" s="23"/>
      <c r="P95" s="23"/>
      <c r="Q95" s="23"/>
      <c r="R95" s="23">
        <f t="shared" si="37"/>
        <v>10000</v>
      </c>
      <c r="S95" s="25">
        <f t="shared" si="34"/>
        <v>100000</v>
      </c>
    </row>
    <row r="96" spans="1:20" s="13" customFormat="1" x14ac:dyDescent="0.25">
      <c r="A96" s="20" t="s">
        <v>165</v>
      </c>
      <c r="B96" s="21" t="s">
        <v>166</v>
      </c>
      <c r="C96" s="22">
        <v>1</v>
      </c>
      <c r="D96" s="22">
        <v>14</v>
      </c>
      <c r="E96" s="23">
        <v>7732</v>
      </c>
      <c r="F96" s="22"/>
      <c r="G96" s="23">
        <f t="shared" si="30"/>
        <v>7732</v>
      </c>
      <c r="H96" s="23"/>
      <c r="I96" s="23"/>
      <c r="J96" s="23"/>
      <c r="K96" s="23">
        <f t="shared" si="33"/>
        <v>2319.6</v>
      </c>
      <c r="L96" s="23">
        <f t="shared" ref="L96" si="38">20000-G96-K96</f>
        <v>9948.4</v>
      </c>
      <c r="M96" s="23"/>
      <c r="N96" s="23"/>
      <c r="O96" s="23"/>
      <c r="P96" s="23"/>
      <c r="Q96" s="23"/>
      <c r="R96" s="23">
        <f t="shared" si="37"/>
        <v>20000</v>
      </c>
      <c r="S96" s="25">
        <f t="shared" si="34"/>
        <v>200000</v>
      </c>
      <c r="T96" s="52"/>
    </row>
    <row r="97" spans="1:20" x14ac:dyDescent="0.25">
      <c r="A97" s="20" t="s">
        <v>167</v>
      </c>
      <c r="B97" s="21" t="s">
        <v>112</v>
      </c>
      <c r="C97" s="22">
        <v>0.5</v>
      </c>
      <c r="D97" s="22">
        <v>10</v>
      </c>
      <c r="E97" s="23">
        <v>2907.5</v>
      </c>
      <c r="F97" s="22"/>
      <c r="G97" s="23">
        <f t="shared" si="30"/>
        <v>2907.5</v>
      </c>
      <c r="H97" s="23"/>
      <c r="I97" s="23"/>
      <c r="J97" s="23"/>
      <c r="K97" s="23">
        <f t="shared" si="33"/>
        <v>872.25</v>
      </c>
      <c r="L97" s="23">
        <f>20000/2-G97-K97</f>
        <v>6220.25</v>
      </c>
      <c r="M97" s="23"/>
      <c r="N97" s="23"/>
      <c r="O97" s="23"/>
      <c r="P97" s="23"/>
      <c r="Q97" s="23"/>
      <c r="R97" s="23">
        <f t="shared" si="37"/>
        <v>10000</v>
      </c>
      <c r="S97" s="25">
        <f t="shared" si="34"/>
        <v>100000</v>
      </c>
      <c r="T97" s="53"/>
    </row>
    <row r="98" spans="1:20" s="13" customFormat="1" x14ac:dyDescent="0.25">
      <c r="A98" s="20" t="s">
        <v>168</v>
      </c>
      <c r="B98" s="21" t="s">
        <v>169</v>
      </c>
      <c r="C98" s="22">
        <v>1.5</v>
      </c>
      <c r="D98" s="22">
        <v>14</v>
      </c>
      <c r="E98" s="23">
        <f>7732*C98</f>
        <v>11598</v>
      </c>
      <c r="F98" s="22"/>
      <c r="G98" s="23">
        <f t="shared" si="30"/>
        <v>11598</v>
      </c>
      <c r="H98" s="23"/>
      <c r="I98" s="23"/>
      <c r="J98" s="23"/>
      <c r="K98" s="23">
        <f t="shared" si="33"/>
        <v>3479.4</v>
      </c>
      <c r="L98" s="23">
        <f>20000*C98-G98-K98</f>
        <v>14922.6</v>
      </c>
      <c r="M98" s="23"/>
      <c r="N98" s="23"/>
      <c r="O98" s="23"/>
      <c r="P98" s="23"/>
      <c r="Q98" s="23"/>
      <c r="R98" s="23">
        <f t="shared" si="37"/>
        <v>30000</v>
      </c>
      <c r="S98" s="25">
        <f t="shared" si="34"/>
        <v>300000</v>
      </c>
      <c r="T98" s="52"/>
    </row>
    <row r="99" spans="1:20" x14ac:dyDescent="0.25">
      <c r="A99" s="20" t="s">
        <v>170</v>
      </c>
      <c r="B99" s="21" t="s">
        <v>171</v>
      </c>
      <c r="C99" s="22">
        <v>0.5</v>
      </c>
      <c r="D99" s="22">
        <v>13</v>
      </c>
      <c r="E99" s="23">
        <f>7523*C99</f>
        <v>3761.5</v>
      </c>
      <c r="F99" s="22"/>
      <c r="G99" s="23">
        <f t="shared" si="30"/>
        <v>3761.5</v>
      </c>
      <c r="H99" s="23"/>
      <c r="I99" s="23"/>
      <c r="J99" s="23"/>
      <c r="K99" s="23">
        <f t="shared" si="33"/>
        <v>1128.45</v>
      </c>
      <c r="L99" s="23">
        <f>20000/2-G99-K99</f>
        <v>5110.05</v>
      </c>
      <c r="M99" s="23"/>
      <c r="N99" s="23"/>
      <c r="O99" s="23"/>
      <c r="P99" s="23"/>
      <c r="Q99" s="23"/>
      <c r="R99" s="23">
        <f t="shared" si="37"/>
        <v>10000</v>
      </c>
      <c r="S99" s="25">
        <f t="shared" si="34"/>
        <v>100000</v>
      </c>
      <c r="T99" s="53"/>
    </row>
    <row r="100" spans="1:20" x14ac:dyDescent="0.25">
      <c r="A100" s="20" t="s">
        <v>172</v>
      </c>
      <c r="B100" s="21" t="s">
        <v>173</v>
      </c>
      <c r="C100" s="22">
        <v>0.5</v>
      </c>
      <c r="D100" s="22">
        <v>14</v>
      </c>
      <c r="E100" s="23">
        <v>3866</v>
      </c>
      <c r="F100" s="22"/>
      <c r="G100" s="23">
        <f t="shared" si="30"/>
        <v>3866</v>
      </c>
      <c r="H100" s="23"/>
      <c r="I100" s="23"/>
      <c r="J100" s="23"/>
      <c r="K100" s="23">
        <f t="shared" si="33"/>
        <v>1159.8</v>
      </c>
      <c r="L100" s="23">
        <f>20000/2-G100-K100</f>
        <v>4974.2</v>
      </c>
      <c r="M100" s="23"/>
      <c r="N100" s="23"/>
      <c r="O100" s="23"/>
      <c r="P100" s="23"/>
      <c r="Q100" s="23"/>
      <c r="R100" s="23">
        <f t="shared" si="37"/>
        <v>10000</v>
      </c>
      <c r="S100" s="25">
        <f t="shared" si="34"/>
        <v>100000</v>
      </c>
      <c r="T100" s="53"/>
    </row>
    <row r="101" spans="1:20" x14ac:dyDescent="0.25">
      <c r="A101" s="20" t="s">
        <v>174</v>
      </c>
      <c r="B101" s="21" t="s">
        <v>128</v>
      </c>
      <c r="C101" s="22">
        <v>0.5</v>
      </c>
      <c r="D101" s="22">
        <v>9</v>
      </c>
      <c r="E101" s="23">
        <f>5527*C101</f>
        <v>2763.5</v>
      </c>
      <c r="F101" s="22"/>
      <c r="G101" s="23">
        <f t="shared" si="30"/>
        <v>2763.5</v>
      </c>
      <c r="H101" s="23"/>
      <c r="I101" s="23"/>
      <c r="J101" s="23"/>
      <c r="K101" s="23">
        <f t="shared" si="33"/>
        <v>829.05</v>
      </c>
      <c r="L101" s="23">
        <f>13500*C101-G101-K101</f>
        <v>3157.45</v>
      </c>
      <c r="M101" s="23"/>
      <c r="N101" s="23"/>
      <c r="O101" s="23"/>
      <c r="P101" s="23"/>
      <c r="Q101" s="23"/>
      <c r="R101" s="23">
        <f>G101+K101+L101</f>
        <v>6750</v>
      </c>
      <c r="S101" s="25">
        <f t="shared" si="34"/>
        <v>67500</v>
      </c>
      <c r="T101" s="53"/>
    </row>
    <row r="102" spans="1:20" x14ac:dyDescent="0.25">
      <c r="A102" s="20" t="s">
        <v>175</v>
      </c>
      <c r="B102" s="21" t="s">
        <v>176</v>
      </c>
      <c r="C102" s="22">
        <v>1</v>
      </c>
      <c r="D102" s="22">
        <v>9</v>
      </c>
      <c r="E102" s="23">
        <v>5527</v>
      </c>
      <c r="F102" s="22">
        <f>E102*0.15</f>
        <v>829.05</v>
      </c>
      <c r="G102" s="23">
        <f t="shared" si="30"/>
        <v>6356.05</v>
      </c>
      <c r="H102" s="23"/>
      <c r="I102" s="23"/>
      <c r="J102" s="23"/>
      <c r="K102" s="23">
        <f t="shared" si="33"/>
        <v>1906.8150000000001</v>
      </c>
      <c r="L102" s="23">
        <f>13500-G102-K102</f>
        <v>5237.1350000000002</v>
      </c>
      <c r="M102" s="23"/>
      <c r="N102" s="23"/>
      <c r="O102" s="23"/>
      <c r="P102" s="23"/>
      <c r="Q102" s="23"/>
      <c r="R102" s="23">
        <f>G102+K102+L102</f>
        <v>13500</v>
      </c>
      <c r="S102" s="25">
        <f t="shared" si="34"/>
        <v>135000</v>
      </c>
      <c r="T102" s="53"/>
    </row>
    <row r="103" spans="1:20" x14ac:dyDescent="0.25">
      <c r="A103" s="20" t="s">
        <v>177</v>
      </c>
      <c r="B103" s="21" t="s">
        <v>178</v>
      </c>
      <c r="C103" s="22">
        <v>1.5</v>
      </c>
      <c r="D103" s="22">
        <v>7</v>
      </c>
      <c r="E103" s="23">
        <v>7380</v>
      </c>
      <c r="F103" s="22"/>
      <c r="G103" s="23">
        <f t="shared" si="30"/>
        <v>7380</v>
      </c>
      <c r="H103" s="23"/>
      <c r="I103" s="23">
        <f>G103*0.1</f>
        <v>738</v>
      </c>
      <c r="J103" s="23"/>
      <c r="K103" s="23">
        <f t="shared" si="33"/>
        <v>2214</v>
      </c>
      <c r="L103" s="23">
        <f>13500*1.5-G103-I103-K103</f>
        <v>9918</v>
      </c>
      <c r="M103" s="23"/>
      <c r="N103" s="23"/>
      <c r="O103" s="23"/>
      <c r="P103" s="23"/>
      <c r="Q103" s="23"/>
      <c r="R103" s="23">
        <f>G103+I103+K103+L103</f>
        <v>20250</v>
      </c>
      <c r="S103" s="25">
        <f t="shared" si="34"/>
        <v>202500</v>
      </c>
      <c r="T103" s="53"/>
    </row>
    <row r="104" spans="1:20" x14ac:dyDescent="0.25">
      <c r="A104" s="20" t="s">
        <v>179</v>
      </c>
      <c r="B104" s="21" t="s">
        <v>91</v>
      </c>
      <c r="C104" s="22">
        <v>6</v>
      </c>
      <c r="D104" s="22">
        <v>9</v>
      </c>
      <c r="E104" s="23">
        <f>5527*C104</f>
        <v>33162</v>
      </c>
      <c r="F104" s="22"/>
      <c r="G104" s="23">
        <f t="shared" si="30"/>
        <v>33162</v>
      </c>
      <c r="H104" s="23"/>
      <c r="I104" s="23"/>
      <c r="J104" s="23"/>
      <c r="K104" s="23">
        <f t="shared" si="33"/>
        <v>9948.6</v>
      </c>
      <c r="L104" s="23">
        <f>13500*C104-G104-K104</f>
        <v>37889.4</v>
      </c>
      <c r="M104" s="23"/>
      <c r="N104" s="23"/>
      <c r="O104" s="23"/>
      <c r="P104" s="23"/>
      <c r="Q104" s="23"/>
      <c r="R104" s="23">
        <f t="shared" ref="R104" si="39">G104+K104+L104</f>
        <v>81000</v>
      </c>
      <c r="S104" s="25">
        <f t="shared" si="34"/>
        <v>810000</v>
      </c>
      <c r="T104" s="53"/>
    </row>
    <row r="105" spans="1:20" x14ac:dyDescent="0.25">
      <c r="A105" s="20" t="s">
        <v>181</v>
      </c>
      <c r="B105" s="21" t="s">
        <v>180</v>
      </c>
      <c r="C105" s="22">
        <v>1</v>
      </c>
      <c r="D105" s="22">
        <v>9</v>
      </c>
      <c r="E105" s="23">
        <f>5527*C105</f>
        <v>5527</v>
      </c>
      <c r="F105" s="22"/>
      <c r="G105" s="23">
        <f t="shared" si="30"/>
        <v>5527</v>
      </c>
      <c r="H105" s="23"/>
      <c r="I105" s="23">
        <f>G105*0.1</f>
        <v>552.70000000000005</v>
      </c>
      <c r="J105" s="23"/>
      <c r="K105" s="23">
        <f t="shared" si="33"/>
        <v>1658.1</v>
      </c>
      <c r="L105" s="23">
        <f>13500-G105-K105-I105</f>
        <v>5762.2</v>
      </c>
      <c r="M105" s="23"/>
      <c r="N105" s="23"/>
      <c r="O105" s="23"/>
      <c r="P105" s="23"/>
      <c r="Q105" s="23"/>
      <c r="R105" s="23">
        <f>G105+K105+L105+I105</f>
        <v>13500</v>
      </c>
      <c r="S105" s="25">
        <f t="shared" si="34"/>
        <v>135000</v>
      </c>
      <c r="T105" s="53"/>
    </row>
    <row r="106" spans="1:20" x14ac:dyDescent="0.25">
      <c r="A106" s="20" t="s">
        <v>183</v>
      </c>
      <c r="B106" s="21" t="s">
        <v>182</v>
      </c>
      <c r="C106" s="22">
        <v>2</v>
      </c>
      <c r="D106" s="22">
        <v>9</v>
      </c>
      <c r="E106" s="23">
        <f>5527*C106</f>
        <v>11054</v>
      </c>
      <c r="F106" s="22">
        <f>E106*0.15</f>
        <v>1658.1</v>
      </c>
      <c r="G106" s="23">
        <f t="shared" si="30"/>
        <v>12712.1</v>
      </c>
      <c r="H106" s="23"/>
      <c r="I106" s="23"/>
      <c r="J106" s="23"/>
      <c r="K106" s="23">
        <f t="shared" si="33"/>
        <v>3813.63</v>
      </c>
      <c r="L106" s="23">
        <f>13500*C106-G106-K106</f>
        <v>10474.27</v>
      </c>
      <c r="M106" s="23"/>
      <c r="N106" s="23"/>
      <c r="O106" s="23"/>
      <c r="P106" s="23"/>
      <c r="Q106" s="23"/>
      <c r="R106" s="23">
        <f t="shared" ref="R106" si="40">G106+K106+L106</f>
        <v>27000</v>
      </c>
      <c r="S106" s="25">
        <f t="shared" si="34"/>
        <v>270000</v>
      </c>
      <c r="T106" s="53"/>
    </row>
    <row r="107" spans="1:20" s="38" customFormat="1" x14ac:dyDescent="0.25">
      <c r="A107" s="20" t="s">
        <v>185</v>
      </c>
      <c r="B107" s="21" t="s">
        <v>184</v>
      </c>
      <c r="C107" s="22">
        <v>0.5</v>
      </c>
      <c r="D107" s="22">
        <v>4</v>
      </c>
      <c r="E107" s="23">
        <v>2029</v>
      </c>
      <c r="F107" s="22"/>
      <c r="G107" s="23">
        <f>E107+F107</f>
        <v>2029</v>
      </c>
      <c r="H107" s="23"/>
      <c r="I107" s="23"/>
      <c r="J107" s="23"/>
      <c r="K107" s="23"/>
      <c r="L107" s="23"/>
      <c r="M107" s="23"/>
      <c r="N107" s="23"/>
      <c r="O107" s="23"/>
      <c r="P107" s="23">
        <f>8000/2-G107</f>
        <v>1971</v>
      </c>
      <c r="Q107" s="23"/>
      <c r="R107" s="23">
        <f>G107+I107+P107</f>
        <v>4000</v>
      </c>
      <c r="S107" s="25">
        <f t="shared" si="34"/>
        <v>40000</v>
      </c>
      <c r="T107" s="46"/>
    </row>
    <row r="108" spans="1:20" x14ac:dyDescent="0.25">
      <c r="A108" s="20" t="s">
        <v>188</v>
      </c>
      <c r="B108" s="21" t="s">
        <v>134</v>
      </c>
      <c r="C108" s="22">
        <v>4</v>
      </c>
      <c r="D108" s="22">
        <v>3</v>
      </c>
      <c r="E108" s="23">
        <f>3770*C108</f>
        <v>15080</v>
      </c>
      <c r="F108" s="22"/>
      <c r="G108" s="23">
        <f t="shared" si="30"/>
        <v>15080</v>
      </c>
      <c r="H108" s="23"/>
      <c r="I108" s="23">
        <f>G108*0.1</f>
        <v>1508</v>
      </c>
      <c r="J108" s="23"/>
      <c r="K108" s="23"/>
      <c r="L108" s="23"/>
      <c r="M108" s="23"/>
      <c r="N108" s="23"/>
      <c r="O108" s="23"/>
      <c r="P108" s="23">
        <f>8000*C108-G108</f>
        <v>16920</v>
      </c>
      <c r="Q108" s="23"/>
      <c r="R108" s="23">
        <f>G108+I108+P108</f>
        <v>33508</v>
      </c>
      <c r="S108" s="25">
        <f t="shared" si="34"/>
        <v>335080</v>
      </c>
      <c r="T108" s="53"/>
    </row>
    <row r="109" spans="1:20" s="27" customFormat="1" ht="18" customHeight="1" thickBot="1" x14ac:dyDescent="0.3">
      <c r="A109" s="112"/>
      <c r="B109" s="113" t="s">
        <v>59</v>
      </c>
      <c r="C109" s="114">
        <f>SUM(C82:C108)</f>
        <v>32.75</v>
      </c>
      <c r="D109" s="114"/>
      <c r="E109" s="115">
        <f>SUM(E82:E108)</f>
        <v>200393.5</v>
      </c>
      <c r="F109" s="115">
        <f>SUM(F82:F108)</f>
        <v>9147.8000000000011</v>
      </c>
      <c r="G109" s="115">
        <f>SUM(G82:G108)</f>
        <v>209541.30000000002</v>
      </c>
      <c r="H109" s="115"/>
      <c r="I109" s="115">
        <f>SUM(I82:I108)</f>
        <v>2798.7</v>
      </c>
      <c r="J109" s="115"/>
      <c r="K109" s="115">
        <f>SUM(K82:K108)</f>
        <v>57729.689999999995</v>
      </c>
      <c r="L109" s="115">
        <f>SUM(L82:L108)</f>
        <v>235547.31000000003</v>
      </c>
      <c r="M109" s="115"/>
      <c r="N109" s="115"/>
      <c r="O109" s="115"/>
      <c r="P109" s="115">
        <f>SUM(P107:P108)</f>
        <v>18891</v>
      </c>
      <c r="Q109" s="115"/>
      <c r="R109" s="115">
        <f>SUM(R82:R108)</f>
        <v>524508</v>
      </c>
      <c r="S109" s="116">
        <f>SUM(S82:S108)</f>
        <v>5245080</v>
      </c>
      <c r="T109" s="54"/>
    </row>
    <row r="110" spans="1:20" ht="22.2" customHeight="1" x14ac:dyDescent="0.25">
      <c r="A110" s="15"/>
      <c r="B110" s="86" t="s">
        <v>187</v>
      </c>
      <c r="C110" s="85"/>
      <c r="D110" s="85"/>
      <c r="E110" s="94"/>
      <c r="F110" s="85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110"/>
      <c r="T110" s="53"/>
    </row>
    <row r="111" spans="1:20" x14ac:dyDescent="0.25">
      <c r="A111" s="20" t="s">
        <v>190</v>
      </c>
      <c r="B111" s="21" t="s">
        <v>189</v>
      </c>
      <c r="C111" s="22">
        <v>1</v>
      </c>
      <c r="D111" s="22">
        <v>10</v>
      </c>
      <c r="E111" s="23">
        <v>5815</v>
      </c>
      <c r="F111" s="22">
        <f>E111*0.15</f>
        <v>872.25</v>
      </c>
      <c r="G111" s="23">
        <f t="shared" ref="G111:G115" si="41">E111+F111</f>
        <v>6687.25</v>
      </c>
      <c r="H111" s="23"/>
      <c r="I111" s="23">
        <f>G111*0.1</f>
        <v>668.72500000000002</v>
      </c>
      <c r="J111" s="23"/>
      <c r="K111" s="23">
        <f>G111*0.3</f>
        <v>2006.175</v>
      </c>
      <c r="L111" s="23">
        <f>20000-G111-I111-K111</f>
        <v>10637.85</v>
      </c>
      <c r="M111" s="23"/>
      <c r="N111" s="23"/>
      <c r="O111" s="23"/>
      <c r="P111" s="23"/>
      <c r="Q111" s="23"/>
      <c r="R111" s="23">
        <f>G111+I111+K111+L111</f>
        <v>20000</v>
      </c>
      <c r="S111" s="25">
        <f>R111*10</f>
        <v>200000</v>
      </c>
      <c r="T111" s="53"/>
    </row>
    <row r="112" spans="1:20" x14ac:dyDescent="0.25">
      <c r="A112" s="20" t="s">
        <v>192</v>
      </c>
      <c r="B112" s="21" t="s">
        <v>191</v>
      </c>
      <c r="C112" s="22">
        <v>1</v>
      </c>
      <c r="D112" s="22">
        <v>9</v>
      </c>
      <c r="E112" s="23">
        <v>5527</v>
      </c>
      <c r="F112" s="22">
        <f>E112*0.15</f>
        <v>829.05</v>
      </c>
      <c r="G112" s="23">
        <f t="shared" si="41"/>
        <v>6356.05</v>
      </c>
      <c r="H112" s="23"/>
      <c r="I112" s="23"/>
      <c r="J112" s="23"/>
      <c r="K112" s="23">
        <f t="shared" ref="K112:K113" si="42">G112*0.3</f>
        <v>1906.8150000000001</v>
      </c>
      <c r="L112" s="23">
        <f>20000-G112-K112</f>
        <v>11737.135</v>
      </c>
      <c r="M112" s="23"/>
      <c r="N112" s="23"/>
      <c r="O112" s="23"/>
      <c r="P112" s="23"/>
      <c r="Q112" s="23"/>
      <c r="R112" s="23">
        <f>G112+I112+K112+L112</f>
        <v>20000</v>
      </c>
      <c r="S112" s="25">
        <f t="shared" ref="S112:S114" si="43">R112*10</f>
        <v>200000</v>
      </c>
      <c r="T112" s="53"/>
    </row>
    <row r="113" spans="1:20" x14ac:dyDescent="0.25">
      <c r="A113" s="20" t="s">
        <v>194</v>
      </c>
      <c r="B113" s="21" t="s">
        <v>193</v>
      </c>
      <c r="C113" s="22">
        <v>3</v>
      </c>
      <c r="D113" s="22">
        <v>10</v>
      </c>
      <c r="E113" s="23">
        <f>5815*C113</f>
        <v>17445</v>
      </c>
      <c r="F113" s="22">
        <f>E113*0.15</f>
        <v>2616.75</v>
      </c>
      <c r="G113" s="23">
        <f t="shared" si="41"/>
        <v>20061.75</v>
      </c>
      <c r="H113" s="23"/>
      <c r="I113" s="23">
        <f>G113*0.1</f>
        <v>2006.1750000000002</v>
      </c>
      <c r="J113" s="23"/>
      <c r="K113" s="23">
        <f t="shared" si="42"/>
        <v>6018.5249999999996</v>
      </c>
      <c r="L113" s="23">
        <f>13500*C113-G113-I113-K113</f>
        <v>12413.550000000001</v>
      </c>
      <c r="M113" s="23"/>
      <c r="N113" s="23"/>
      <c r="O113" s="23"/>
      <c r="P113" s="23"/>
      <c r="Q113" s="23"/>
      <c r="R113" s="23">
        <f>G113+I113+K113+L113</f>
        <v>40500</v>
      </c>
      <c r="S113" s="25">
        <f t="shared" si="43"/>
        <v>405000</v>
      </c>
      <c r="T113" s="53"/>
    </row>
    <row r="114" spans="1:20" s="38" customFormat="1" x14ac:dyDescent="0.25">
      <c r="A114" s="20" t="s">
        <v>197</v>
      </c>
      <c r="B114" s="21" t="s">
        <v>186</v>
      </c>
      <c r="C114" s="22">
        <v>1</v>
      </c>
      <c r="D114" s="22">
        <v>3</v>
      </c>
      <c r="E114" s="23">
        <f>3770*C114</f>
        <v>3770</v>
      </c>
      <c r="F114" s="22">
        <f>E114*0.15</f>
        <v>565.5</v>
      </c>
      <c r="G114" s="23">
        <f t="shared" si="41"/>
        <v>4335.5</v>
      </c>
      <c r="H114" s="23"/>
      <c r="I114" s="23">
        <f>G114*0.1</f>
        <v>433.55</v>
      </c>
      <c r="J114" s="23"/>
      <c r="K114" s="23" t="s">
        <v>195</v>
      </c>
      <c r="L114" s="23"/>
      <c r="M114" s="23"/>
      <c r="N114" s="23"/>
      <c r="O114" s="23"/>
      <c r="P114" s="23">
        <f>8000*C114-E114</f>
        <v>4230</v>
      </c>
      <c r="Q114" s="23"/>
      <c r="R114" s="23">
        <f>G114+I114+P114</f>
        <v>8999.0499999999993</v>
      </c>
      <c r="S114" s="25">
        <f t="shared" si="43"/>
        <v>89990.5</v>
      </c>
      <c r="T114" s="46"/>
    </row>
    <row r="115" spans="1:20" s="27" customFormat="1" ht="21.6" customHeight="1" thickBot="1" x14ac:dyDescent="0.3">
      <c r="A115" s="64"/>
      <c r="B115" s="47" t="s">
        <v>59</v>
      </c>
      <c r="C115" s="34">
        <f>C111+C112+C113+C114</f>
        <v>6</v>
      </c>
      <c r="D115" s="34"/>
      <c r="E115" s="35">
        <f>SUM(E111:E114)</f>
        <v>32557</v>
      </c>
      <c r="F115" s="34">
        <f>SUM(F111:F114)</f>
        <v>4883.55</v>
      </c>
      <c r="G115" s="35">
        <f t="shared" si="41"/>
        <v>37440.550000000003</v>
      </c>
      <c r="H115" s="35"/>
      <c r="I115" s="35">
        <f>SUM(I111:I114)</f>
        <v>3108.4500000000003</v>
      </c>
      <c r="J115" s="35"/>
      <c r="K115" s="35">
        <f>SUM(K111:K114)</f>
        <v>9931.5149999999994</v>
      </c>
      <c r="L115" s="35">
        <f>SUM(L111:L114)</f>
        <v>34788.535000000003</v>
      </c>
      <c r="M115" s="35"/>
      <c r="N115" s="35"/>
      <c r="O115" s="35"/>
      <c r="P115" s="35">
        <f>SUM(P111:P114)</f>
        <v>4230</v>
      </c>
      <c r="Q115" s="35"/>
      <c r="R115" s="35">
        <f>SUM(R111:R114)</f>
        <v>89499.05</v>
      </c>
      <c r="S115" s="36">
        <f>SUM(S111:S114)</f>
        <v>894990.5</v>
      </c>
      <c r="T115" s="54"/>
    </row>
    <row r="116" spans="1:20" ht="23.4" customHeight="1" x14ac:dyDescent="0.25">
      <c r="A116" s="18"/>
      <c r="B116" s="86" t="s">
        <v>196</v>
      </c>
      <c r="C116" s="86"/>
      <c r="D116" s="86"/>
      <c r="E116" s="92"/>
      <c r="F116" s="86"/>
      <c r="G116" s="94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3"/>
      <c r="T116" s="53"/>
    </row>
    <row r="117" spans="1:20" ht="14.4" customHeight="1" x14ac:dyDescent="0.25">
      <c r="A117" s="20" t="s">
        <v>198</v>
      </c>
      <c r="B117" s="21" t="s">
        <v>110</v>
      </c>
      <c r="C117" s="22">
        <v>0.25</v>
      </c>
      <c r="D117" s="22">
        <v>10</v>
      </c>
      <c r="E117" s="23">
        <f>5815*C117</f>
        <v>1453.75</v>
      </c>
      <c r="F117" s="22">
        <f t="shared" ref="F117:F120" si="44">E117*0.15</f>
        <v>218.0625</v>
      </c>
      <c r="G117" s="23">
        <f t="shared" si="20"/>
        <v>1671.8125</v>
      </c>
      <c r="H117" s="23"/>
      <c r="I117" s="23"/>
      <c r="J117" s="23"/>
      <c r="K117" s="23">
        <f>G117*0.3</f>
        <v>501.54374999999999</v>
      </c>
      <c r="L117" s="23">
        <f>20000*C117-G117-K117</f>
        <v>2826.6437500000002</v>
      </c>
      <c r="M117" s="23"/>
      <c r="N117" s="23"/>
      <c r="O117" s="23"/>
      <c r="P117" s="23"/>
      <c r="Q117" s="23"/>
      <c r="R117" s="23">
        <f t="shared" ref="R117:R118" si="45">G117+K117+L117</f>
        <v>5000</v>
      </c>
      <c r="S117" s="25">
        <f>R117*10</f>
        <v>50000</v>
      </c>
      <c r="T117" s="53"/>
    </row>
    <row r="118" spans="1:20" x14ac:dyDescent="0.25">
      <c r="A118" s="20" t="s">
        <v>199</v>
      </c>
      <c r="B118" s="21" t="s">
        <v>104</v>
      </c>
      <c r="C118" s="22">
        <v>0.25</v>
      </c>
      <c r="D118" s="22">
        <v>10</v>
      </c>
      <c r="E118" s="23">
        <f>5815*C118</f>
        <v>1453.75</v>
      </c>
      <c r="F118" s="22">
        <f t="shared" si="44"/>
        <v>218.0625</v>
      </c>
      <c r="G118" s="23">
        <f t="shared" si="20"/>
        <v>1671.8125</v>
      </c>
      <c r="H118" s="23"/>
      <c r="I118" s="23"/>
      <c r="J118" s="23"/>
      <c r="K118" s="23">
        <f t="shared" ref="K118:K119" si="46">G118*0.3</f>
        <v>501.54374999999999</v>
      </c>
      <c r="L118" s="23">
        <f>20000*C118-G118-K118</f>
        <v>2826.6437500000002</v>
      </c>
      <c r="M118" s="23"/>
      <c r="N118" s="23"/>
      <c r="O118" s="23"/>
      <c r="P118" s="23"/>
      <c r="Q118" s="23"/>
      <c r="R118" s="23">
        <f t="shared" si="45"/>
        <v>5000</v>
      </c>
      <c r="S118" s="25">
        <f t="shared" ref="S118:S120" si="47">R118*10</f>
        <v>50000</v>
      </c>
      <c r="T118" s="53"/>
    </row>
    <row r="119" spans="1:20" x14ac:dyDescent="0.25">
      <c r="A119" s="20" t="s">
        <v>200</v>
      </c>
      <c r="B119" s="21" t="s">
        <v>130</v>
      </c>
      <c r="C119" s="22">
        <v>4</v>
      </c>
      <c r="D119" s="22">
        <v>9</v>
      </c>
      <c r="E119" s="23">
        <f>5527*C119</f>
        <v>22108</v>
      </c>
      <c r="F119" s="22">
        <f t="shared" si="44"/>
        <v>3316.2</v>
      </c>
      <c r="G119" s="23">
        <f t="shared" si="20"/>
        <v>25424.2</v>
      </c>
      <c r="H119" s="23"/>
      <c r="I119" s="23">
        <f t="shared" ref="I119:I120" si="48">G119*0.1</f>
        <v>2542.42</v>
      </c>
      <c r="J119" s="23"/>
      <c r="K119" s="23">
        <f t="shared" si="46"/>
        <v>7627.26</v>
      </c>
      <c r="L119" s="23">
        <f>13500*C119-G119-K119-I119-N119</f>
        <v>15816.520000000002</v>
      </c>
      <c r="M119" s="23"/>
      <c r="N119" s="23">
        <f>647.4*C119</f>
        <v>2589.6</v>
      </c>
      <c r="O119" s="23"/>
      <c r="P119" s="23"/>
      <c r="Q119" s="23"/>
      <c r="R119" s="23">
        <f>G119+K119+L119+I119+N119</f>
        <v>54000</v>
      </c>
      <c r="S119" s="25">
        <f t="shared" si="47"/>
        <v>540000</v>
      </c>
      <c r="T119" s="53"/>
    </row>
    <row r="120" spans="1:20" s="13" customFormat="1" x14ac:dyDescent="0.2">
      <c r="A120" s="28" t="s">
        <v>202</v>
      </c>
      <c r="B120" s="21" t="s">
        <v>134</v>
      </c>
      <c r="C120" s="22">
        <v>3.5</v>
      </c>
      <c r="D120" s="22">
        <v>4</v>
      </c>
      <c r="E120" s="23">
        <f>4058*C120</f>
        <v>14203</v>
      </c>
      <c r="F120" s="22">
        <f t="shared" si="44"/>
        <v>2130.4499999999998</v>
      </c>
      <c r="G120" s="23">
        <f t="shared" si="20"/>
        <v>16333.45</v>
      </c>
      <c r="H120" s="23"/>
      <c r="I120" s="23">
        <f t="shared" si="48"/>
        <v>1633.3450000000003</v>
      </c>
      <c r="J120" s="23"/>
      <c r="K120" s="23"/>
      <c r="L120" s="23"/>
      <c r="M120" s="23"/>
      <c r="N120" s="23">
        <f>475.33*C120</f>
        <v>1663.655</v>
      </c>
      <c r="O120" s="23"/>
      <c r="P120" s="23">
        <f>8000*C120-E120</f>
        <v>13797</v>
      </c>
      <c r="Q120" s="23"/>
      <c r="R120" s="23">
        <f>G120+I120+P120+N120</f>
        <v>33427.450000000004</v>
      </c>
      <c r="S120" s="25">
        <f t="shared" si="47"/>
        <v>334274.50000000006</v>
      </c>
      <c r="T120" s="52"/>
    </row>
    <row r="121" spans="1:20" s="27" customFormat="1" ht="21.6" customHeight="1" thickBot="1" x14ac:dyDescent="0.3">
      <c r="A121" s="64"/>
      <c r="B121" s="117" t="s">
        <v>59</v>
      </c>
      <c r="C121" s="34">
        <f>SUM(C117:C120)</f>
        <v>8</v>
      </c>
      <c r="D121" s="34"/>
      <c r="E121" s="35">
        <f>SUM(E117:E120)</f>
        <v>39218.5</v>
      </c>
      <c r="F121" s="34">
        <f>SUM(F117:F120)</f>
        <v>5882.7749999999996</v>
      </c>
      <c r="G121" s="35">
        <f>SUM(G117:G120)</f>
        <v>45101.275000000001</v>
      </c>
      <c r="H121" s="35"/>
      <c r="I121" s="35">
        <f>SUM(I117:I120)</f>
        <v>4175.7650000000003</v>
      </c>
      <c r="J121" s="35"/>
      <c r="K121" s="35">
        <f>SUM(K117:K120)</f>
        <v>8630.3474999999999</v>
      </c>
      <c r="L121" s="35">
        <f>SUM(L117:L120)</f>
        <v>21469.807500000003</v>
      </c>
      <c r="M121" s="35"/>
      <c r="N121" s="35">
        <f>SUM(N117:N120)</f>
        <v>4253.2550000000001</v>
      </c>
      <c r="O121" s="35"/>
      <c r="P121" s="35">
        <f>SUM(P117:P120)</f>
        <v>13797</v>
      </c>
      <c r="Q121" s="35"/>
      <c r="R121" s="35">
        <f>SUM(R117:R120)</f>
        <v>97427.450000000012</v>
      </c>
      <c r="S121" s="36">
        <f>SUM(S117:S120)</f>
        <v>974274.5</v>
      </c>
      <c r="T121" s="54"/>
    </row>
    <row r="122" spans="1:20" s="56" customFormat="1" ht="19.2" customHeight="1" x14ac:dyDescent="0.25">
      <c r="A122" s="15"/>
      <c r="B122" s="86" t="s">
        <v>201</v>
      </c>
      <c r="C122" s="85"/>
      <c r="D122" s="85"/>
      <c r="E122" s="94"/>
      <c r="F122" s="85"/>
      <c r="G122" s="94"/>
      <c r="H122" s="94"/>
      <c r="I122" s="94"/>
      <c r="J122" s="94"/>
      <c r="K122" s="94"/>
      <c r="L122" s="94"/>
      <c r="M122" s="94"/>
      <c r="N122" s="94"/>
      <c r="O122" s="94"/>
      <c r="P122" s="94"/>
      <c r="Q122" s="94"/>
      <c r="R122" s="94"/>
      <c r="S122" s="110"/>
      <c r="T122" s="58"/>
    </row>
    <row r="123" spans="1:20" s="13" customFormat="1" x14ac:dyDescent="0.25">
      <c r="A123" s="20" t="s">
        <v>203</v>
      </c>
      <c r="B123" s="59" t="s">
        <v>100</v>
      </c>
      <c r="C123" s="22">
        <v>1</v>
      </c>
      <c r="D123" s="22">
        <v>13</v>
      </c>
      <c r="E123" s="23">
        <v>7253</v>
      </c>
      <c r="F123" s="22">
        <f>E123*0.2</f>
        <v>1450.6000000000001</v>
      </c>
      <c r="G123" s="23">
        <f t="shared" ref="G123:G124" si="49">E123+F123</f>
        <v>8703.6</v>
      </c>
      <c r="H123" s="23"/>
      <c r="I123" s="23"/>
      <c r="J123" s="23"/>
      <c r="K123" s="23">
        <f t="shared" ref="K123:K124" si="50">G123*0.3</f>
        <v>2611.08</v>
      </c>
      <c r="L123" s="23">
        <f t="shared" ref="L123" si="51">20000-G123-K123</f>
        <v>8685.32</v>
      </c>
      <c r="M123" s="23"/>
      <c r="N123" s="23"/>
      <c r="O123" s="23"/>
      <c r="P123" s="23"/>
      <c r="Q123" s="23"/>
      <c r="R123" s="23">
        <f>G123+K123+L123+O123</f>
        <v>20000</v>
      </c>
      <c r="S123" s="25">
        <f>R123*10</f>
        <v>200000</v>
      </c>
      <c r="T123" s="52"/>
    </row>
    <row r="124" spans="1:20" s="38" customFormat="1" x14ac:dyDescent="0.25">
      <c r="A124" s="57" t="s">
        <v>205</v>
      </c>
      <c r="B124" s="21" t="s">
        <v>128</v>
      </c>
      <c r="C124" s="22">
        <v>1</v>
      </c>
      <c r="D124" s="22">
        <v>10</v>
      </c>
      <c r="E124" s="23">
        <v>5815</v>
      </c>
      <c r="F124" s="22">
        <f>E124*0.1</f>
        <v>581.5</v>
      </c>
      <c r="G124" s="23">
        <f t="shared" si="49"/>
        <v>6396.5</v>
      </c>
      <c r="H124" s="23"/>
      <c r="I124" s="23"/>
      <c r="J124" s="23"/>
      <c r="K124" s="23">
        <f t="shared" si="50"/>
        <v>1918.9499999999998</v>
      </c>
      <c r="L124" s="23">
        <f>13500-G124-K124</f>
        <v>5184.55</v>
      </c>
      <c r="M124" s="23"/>
      <c r="N124" s="23"/>
      <c r="O124" s="23"/>
      <c r="P124" s="23"/>
      <c r="Q124" s="23"/>
      <c r="R124" s="23">
        <f>G124+K124+L124</f>
        <v>13500</v>
      </c>
      <c r="S124" s="25">
        <f>R124*10</f>
        <v>135000</v>
      </c>
      <c r="T124" s="46"/>
    </row>
    <row r="125" spans="1:20" x14ac:dyDescent="0.25">
      <c r="A125" s="28"/>
      <c r="B125" s="50"/>
      <c r="C125" s="60"/>
      <c r="D125" s="60"/>
      <c r="E125" s="61"/>
      <c r="F125" s="60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2"/>
      <c r="T125" s="53"/>
    </row>
    <row r="126" spans="1:20" ht="21" customHeight="1" x14ac:dyDescent="0.25">
      <c r="A126" s="20"/>
      <c r="B126" s="63" t="s">
        <v>204</v>
      </c>
      <c r="C126" s="29"/>
      <c r="D126" s="29"/>
      <c r="E126" s="30"/>
      <c r="F126" s="29"/>
      <c r="G126" s="23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1"/>
      <c r="T126" s="53"/>
    </row>
    <row r="127" spans="1:20" ht="11.4" customHeight="1" x14ac:dyDescent="0.25">
      <c r="A127" s="20" t="s">
        <v>207</v>
      </c>
      <c r="B127" s="21" t="s">
        <v>206</v>
      </c>
      <c r="C127" s="22">
        <v>4.5</v>
      </c>
      <c r="D127" s="22">
        <v>14</v>
      </c>
      <c r="E127" s="23">
        <f>7732*C127</f>
        <v>34794</v>
      </c>
      <c r="F127" s="22"/>
      <c r="G127" s="23">
        <f t="shared" ref="G127:G133" si="52">E127+F127</f>
        <v>34794</v>
      </c>
      <c r="H127" s="23"/>
      <c r="I127" s="23"/>
      <c r="J127" s="23"/>
      <c r="K127" s="23">
        <f t="shared" ref="K127" si="53">G127*0.3</f>
        <v>10438.199999999999</v>
      </c>
      <c r="L127" s="23">
        <f>20000*C127-G127-K127</f>
        <v>44767.8</v>
      </c>
      <c r="M127" s="23"/>
      <c r="N127" s="23"/>
      <c r="O127" s="23"/>
      <c r="P127" s="23"/>
      <c r="Q127" s="23"/>
      <c r="R127" s="23">
        <f>G127+K127+L127+O127</f>
        <v>90000</v>
      </c>
      <c r="S127" s="25">
        <f>R127*10</f>
        <v>900000</v>
      </c>
    </row>
    <row r="128" spans="1:20" x14ac:dyDescent="0.25">
      <c r="A128" s="20" t="s">
        <v>209</v>
      </c>
      <c r="B128" s="21" t="s">
        <v>208</v>
      </c>
      <c r="C128" s="22">
        <v>1</v>
      </c>
      <c r="D128" s="22">
        <v>13</v>
      </c>
      <c r="E128" s="23">
        <v>7523</v>
      </c>
      <c r="F128" s="22"/>
      <c r="G128" s="23">
        <f t="shared" si="52"/>
        <v>7523</v>
      </c>
      <c r="H128" s="23"/>
      <c r="I128" s="23"/>
      <c r="J128" s="23"/>
      <c r="K128" s="23">
        <f>G128*0.3</f>
        <v>2256.9</v>
      </c>
      <c r="L128" s="23">
        <f>20000-G128-K128</f>
        <v>10220.1</v>
      </c>
      <c r="M128" s="23"/>
      <c r="N128" s="23"/>
      <c r="O128" s="23"/>
      <c r="P128" s="23"/>
      <c r="Q128" s="23"/>
      <c r="R128" s="23">
        <f>G128+K128+L128+O128</f>
        <v>20000</v>
      </c>
      <c r="S128" s="25">
        <f t="shared" ref="S128:S133" si="54">R128*10</f>
        <v>200000</v>
      </c>
    </row>
    <row r="129" spans="1:20" s="13" customFormat="1" x14ac:dyDescent="0.25">
      <c r="A129" s="20" t="s">
        <v>210</v>
      </c>
      <c r="B129" s="21" t="s">
        <v>112</v>
      </c>
      <c r="C129" s="22">
        <v>1</v>
      </c>
      <c r="D129" s="22">
        <v>12</v>
      </c>
      <c r="E129" s="23">
        <v>6773</v>
      </c>
      <c r="F129" s="22"/>
      <c r="G129" s="23">
        <f t="shared" si="52"/>
        <v>6773</v>
      </c>
      <c r="H129" s="23"/>
      <c r="I129" s="23"/>
      <c r="J129" s="23"/>
      <c r="K129" s="23">
        <f t="shared" ref="K129:K131" si="55">G129*0.3</f>
        <v>2031.8999999999999</v>
      </c>
      <c r="L129" s="23">
        <f t="shared" ref="L129" si="56">20000-G129-K129</f>
        <v>11195.1</v>
      </c>
      <c r="M129" s="23"/>
      <c r="N129" s="23"/>
      <c r="O129" s="23"/>
      <c r="P129" s="23"/>
      <c r="Q129" s="23"/>
      <c r="R129" s="23">
        <f>G129+K129+L129+O129</f>
        <v>20000</v>
      </c>
      <c r="S129" s="25">
        <f t="shared" si="54"/>
        <v>200000</v>
      </c>
    </row>
    <row r="130" spans="1:20" x14ac:dyDescent="0.25">
      <c r="A130" s="20" t="s">
        <v>213</v>
      </c>
      <c r="B130" s="21" t="s">
        <v>211</v>
      </c>
      <c r="C130" s="22">
        <v>5</v>
      </c>
      <c r="D130" s="22">
        <v>10</v>
      </c>
      <c r="E130" s="23">
        <f>5815*C130</f>
        <v>29075</v>
      </c>
      <c r="F130" s="22"/>
      <c r="G130" s="23">
        <f t="shared" si="52"/>
        <v>29075</v>
      </c>
      <c r="H130" s="23"/>
      <c r="I130" s="23">
        <f>G130*0.1</f>
        <v>2907.5</v>
      </c>
      <c r="J130" s="23"/>
      <c r="K130" s="23">
        <f t="shared" si="55"/>
        <v>8722.5</v>
      </c>
      <c r="L130" s="23">
        <f>13500*C130-G130-I130-K130</f>
        <v>26795</v>
      </c>
      <c r="M130" s="23"/>
      <c r="N130" s="23"/>
      <c r="O130" s="23"/>
      <c r="P130" s="23"/>
      <c r="Q130" s="23"/>
      <c r="R130" s="23">
        <f>G130+I130+K130+L130</f>
        <v>67500</v>
      </c>
      <c r="S130" s="25">
        <f t="shared" si="54"/>
        <v>675000</v>
      </c>
      <c r="T130" s="53"/>
    </row>
    <row r="131" spans="1:20" s="13" customFormat="1" x14ac:dyDescent="0.25">
      <c r="A131" s="20" t="s">
        <v>214</v>
      </c>
      <c r="B131" s="21" t="s">
        <v>91</v>
      </c>
      <c r="C131" s="22">
        <v>1</v>
      </c>
      <c r="D131" s="22">
        <v>10</v>
      </c>
      <c r="E131" s="23">
        <v>5815</v>
      </c>
      <c r="F131" s="22"/>
      <c r="G131" s="23">
        <f t="shared" si="52"/>
        <v>5815</v>
      </c>
      <c r="H131" s="23"/>
      <c r="I131" s="23"/>
      <c r="J131" s="23"/>
      <c r="K131" s="23">
        <f t="shared" si="55"/>
        <v>1744.5</v>
      </c>
      <c r="L131" s="23">
        <f t="shared" ref="L131:L132" si="57">13500-G131-K131</f>
        <v>5940.5</v>
      </c>
      <c r="M131" s="23"/>
      <c r="N131" s="23"/>
      <c r="O131" s="23"/>
      <c r="P131" s="23"/>
      <c r="Q131" s="23"/>
      <c r="R131" s="23">
        <f t="shared" ref="R131:R132" si="58">G131+K131+L131</f>
        <v>13500</v>
      </c>
      <c r="S131" s="25">
        <f t="shared" si="54"/>
        <v>135000</v>
      </c>
    </row>
    <row r="132" spans="1:20" x14ac:dyDescent="0.25">
      <c r="A132" s="20" t="s">
        <v>216</v>
      </c>
      <c r="B132" s="21" t="s">
        <v>215</v>
      </c>
      <c r="C132" s="22">
        <v>1</v>
      </c>
      <c r="D132" s="22">
        <v>10</v>
      </c>
      <c r="E132" s="23">
        <v>5815</v>
      </c>
      <c r="F132" s="22"/>
      <c r="G132" s="23">
        <f t="shared" si="52"/>
        <v>5815</v>
      </c>
      <c r="H132" s="23"/>
      <c r="I132" s="23"/>
      <c r="J132" s="23"/>
      <c r="K132" s="23">
        <f>G132*0.3</f>
        <v>1744.5</v>
      </c>
      <c r="L132" s="23">
        <f t="shared" si="57"/>
        <v>5940.5</v>
      </c>
      <c r="M132" s="23"/>
      <c r="N132" s="23"/>
      <c r="O132" s="23"/>
      <c r="P132" s="23"/>
      <c r="Q132" s="23"/>
      <c r="R132" s="23">
        <f t="shared" si="58"/>
        <v>13500</v>
      </c>
      <c r="S132" s="25">
        <f t="shared" si="54"/>
        <v>135000</v>
      </c>
    </row>
    <row r="133" spans="1:20" x14ac:dyDescent="0.25">
      <c r="A133" s="20" t="s">
        <v>218</v>
      </c>
      <c r="B133" s="21" t="s">
        <v>134</v>
      </c>
      <c r="C133" s="22">
        <v>2</v>
      </c>
      <c r="D133" s="22">
        <v>3</v>
      </c>
      <c r="E133" s="23">
        <f>3770*C133</f>
        <v>7540</v>
      </c>
      <c r="F133" s="22"/>
      <c r="G133" s="23">
        <f t="shared" si="52"/>
        <v>7540</v>
      </c>
      <c r="H133" s="23"/>
      <c r="I133" s="23">
        <f>G133*0.1</f>
        <v>754</v>
      </c>
      <c r="J133" s="23"/>
      <c r="K133" s="23"/>
      <c r="L133" s="23"/>
      <c r="M133" s="23"/>
      <c r="N133" s="23"/>
      <c r="O133" s="23"/>
      <c r="P133" s="23">
        <f>8000*C133-G133</f>
        <v>8460</v>
      </c>
      <c r="Q133" s="23"/>
      <c r="R133" s="23">
        <f>SUM(G133:Q133)</f>
        <v>16754</v>
      </c>
      <c r="S133" s="25">
        <f t="shared" si="54"/>
        <v>167540</v>
      </c>
    </row>
    <row r="134" spans="1:20" s="27" customFormat="1" ht="20.399999999999999" customHeight="1" thickBot="1" x14ac:dyDescent="0.3">
      <c r="A134" s="64"/>
      <c r="B134" s="47" t="s">
        <v>59</v>
      </c>
      <c r="C134" s="34">
        <f>SUM(C123:C133)</f>
        <v>17.5</v>
      </c>
      <c r="D134" s="34"/>
      <c r="E134" s="35">
        <f>SUM(E123:E133)</f>
        <v>110403</v>
      </c>
      <c r="F134" s="34">
        <f>SUM(F123:F133)</f>
        <v>2032.1000000000001</v>
      </c>
      <c r="G134" s="35">
        <f>SUM(G123:G133)</f>
        <v>112435.1</v>
      </c>
      <c r="H134" s="35"/>
      <c r="I134" s="35">
        <f>SUM(I123:I133)</f>
        <v>3661.5</v>
      </c>
      <c r="J134" s="35"/>
      <c r="K134" s="35">
        <f>SUM(K123:K133)</f>
        <v>31468.530000000002</v>
      </c>
      <c r="L134" s="35">
        <f>SUM(L123:L133)</f>
        <v>118728.87000000001</v>
      </c>
      <c r="M134" s="35">
        <f>SUM(M133:M133)</f>
        <v>0</v>
      </c>
      <c r="N134" s="35"/>
      <c r="O134" s="35">
        <f>SUM(O128:O133)</f>
        <v>0</v>
      </c>
      <c r="P134" s="35">
        <f>SUM(P133:P133)</f>
        <v>8460</v>
      </c>
      <c r="Q134" s="35"/>
      <c r="R134" s="35">
        <f>SUM(R123:R133)</f>
        <v>274754</v>
      </c>
      <c r="S134" s="36">
        <f>SUM(S123:S133)</f>
        <v>2747540</v>
      </c>
    </row>
    <row r="135" spans="1:20" ht="22.8" x14ac:dyDescent="0.25">
      <c r="A135" s="15"/>
      <c r="B135" s="55" t="s">
        <v>217</v>
      </c>
      <c r="C135" s="85"/>
      <c r="D135" s="85"/>
      <c r="E135" s="94"/>
      <c r="F135" s="85"/>
      <c r="G135" s="94"/>
      <c r="H135" s="94"/>
      <c r="I135" s="94"/>
      <c r="J135" s="94"/>
      <c r="K135" s="94"/>
      <c r="L135" s="94"/>
      <c r="M135" s="94"/>
      <c r="N135" s="94"/>
      <c r="O135" s="94"/>
      <c r="P135" s="94"/>
      <c r="Q135" s="94"/>
      <c r="R135" s="94"/>
      <c r="S135" s="110"/>
    </row>
    <row r="136" spans="1:20" x14ac:dyDescent="0.25">
      <c r="A136" s="20" t="s">
        <v>221</v>
      </c>
      <c r="B136" s="21" t="s">
        <v>219</v>
      </c>
      <c r="C136" s="22">
        <v>6</v>
      </c>
      <c r="D136" s="22">
        <v>10</v>
      </c>
      <c r="E136" s="23">
        <f>5815*C136</f>
        <v>34890</v>
      </c>
      <c r="F136" s="22"/>
      <c r="G136" s="23">
        <f t="shared" ref="G136:G137" si="59">E136+F136</f>
        <v>34890</v>
      </c>
      <c r="H136" s="23"/>
      <c r="I136" s="23"/>
      <c r="J136" s="23"/>
      <c r="K136" s="23">
        <f t="shared" ref="K136" si="60">G136*0.3</f>
        <v>10467</v>
      </c>
      <c r="L136" s="23">
        <f>13500*C136-G136-K136-N136</f>
        <v>31556.22</v>
      </c>
      <c r="M136" s="23"/>
      <c r="N136" s="23">
        <f>681.13*C136</f>
        <v>4086.7799999999997</v>
      </c>
      <c r="O136" s="23"/>
      <c r="P136" s="23"/>
      <c r="Q136" s="23"/>
      <c r="R136" s="23">
        <f t="shared" ref="R136" si="61">G136+K136+L136+N136</f>
        <v>81000</v>
      </c>
      <c r="S136" s="25">
        <f>R136*10</f>
        <v>810000</v>
      </c>
    </row>
    <row r="137" spans="1:20" x14ac:dyDescent="0.25">
      <c r="A137" s="20" t="s">
        <v>223</v>
      </c>
      <c r="B137" s="21" t="s">
        <v>78</v>
      </c>
      <c r="C137" s="22">
        <v>5</v>
      </c>
      <c r="D137" s="22">
        <v>4</v>
      </c>
      <c r="E137" s="23">
        <f>4058*C137</f>
        <v>20290</v>
      </c>
      <c r="F137" s="22"/>
      <c r="G137" s="23">
        <f t="shared" si="59"/>
        <v>20290</v>
      </c>
      <c r="H137" s="23"/>
      <c r="I137" s="23"/>
      <c r="J137" s="23"/>
      <c r="K137" s="23"/>
      <c r="L137" s="23"/>
      <c r="M137" s="23"/>
      <c r="N137" s="23">
        <f>475.33*C137</f>
        <v>2376.65</v>
      </c>
      <c r="O137" s="23"/>
      <c r="P137" s="23">
        <f>8000*C137-G137</f>
        <v>19710</v>
      </c>
      <c r="Q137" s="23"/>
      <c r="R137" s="23">
        <f>E137+P137+N137</f>
        <v>42376.65</v>
      </c>
      <c r="S137" s="25">
        <f>R137*10</f>
        <v>423766.5</v>
      </c>
    </row>
    <row r="138" spans="1:20" s="27" customFormat="1" ht="22.2" customHeight="1" thickBot="1" x14ac:dyDescent="0.3">
      <c r="A138" s="64"/>
      <c r="B138" s="47" t="s">
        <v>59</v>
      </c>
      <c r="C138" s="34">
        <f>SUM(C136:C137)</f>
        <v>11</v>
      </c>
      <c r="D138" s="34"/>
      <c r="E138" s="35">
        <f>SUM(E136:E137)</f>
        <v>55180</v>
      </c>
      <c r="F138" s="34"/>
      <c r="G138" s="35">
        <f>SUM(G136:G137)</f>
        <v>55180</v>
      </c>
      <c r="H138" s="35"/>
      <c r="I138" s="35"/>
      <c r="J138" s="35"/>
      <c r="K138" s="35">
        <f>SUM(K136:K137)</f>
        <v>10467</v>
      </c>
      <c r="L138" s="35">
        <f>SUM(L136:L137)</f>
        <v>31556.22</v>
      </c>
      <c r="M138" s="35"/>
      <c r="N138" s="35">
        <f>SUM(N136:N137)</f>
        <v>6463.43</v>
      </c>
      <c r="O138" s="35"/>
      <c r="P138" s="35">
        <f>SUM(P136:P137)</f>
        <v>19710</v>
      </c>
      <c r="Q138" s="35"/>
      <c r="R138" s="35">
        <f>SUM(R136:R137)</f>
        <v>123376.65</v>
      </c>
      <c r="S138" s="36">
        <f>SUM(S136:S137)</f>
        <v>1233766.5</v>
      </c>
    </row>
    <row r="139" spans="1:20" ht="29.4" customHeight="1" x14ac:dyDescent="0.25">
      <c r="A139" s="15"/>
      <c r="B139" s="55" t="s">
        <v>222</v>
      </c>
      <c r="C139" s="85"/>
      <c r="D139" s="85"/>
      <c r="E139" s="94"/>
      <c r="F139" s="85"/>
      <c r="G139" s="94"/>
      <c r="H139" s="94"/>
      <c r="I139" s="94"/>
      <c r="J139" s="94"/>
      <c r="K139" s="94"/>
      <c r="L139" s="94"/>
      <c r="M139" s="94"/>
      <c r="N139" s="94"/>
      <c r="O139" s="94"/>
      <c r="P139" s="94"/>
      <c r="Q139" s="94"/>
      <c r="R139" s="94"/>
      <c r="S139" s="110"/>
    </row>
    <row r="140" spans="1:20" x14ac:dyDescent="0.25">
      <c r="A140" s="20" t="s">
        <v>224</v>
      </c>
      <c r="B140" s="21" t="s">
        <v>206</v>
      </c>
      <c r="C140" s="22">
        <v>1</v>
      </c>
      <c r="D140" s="22">
        <v>12</v>
      </c>
      <c r="E140" s="23">
        <f>6773*C140</f>
        <v>6773</v>
      </c>
      <c r="F140" s="22">
        <f>E140*0.1</f>
        <v>677.30000000000007</v>
      </c>
      <c r="G140" s="23">
        <f t="shared" ref="G140:G145" si="62">E140+F140</f>
        <v>7450.3</v>
      </c>
      <c r="H140" s="23"/>
      <c r="I140" s="23"/>
      <c r="J140" s="23"/>
      <c r="K140" s="23">
        <f>G140*0.3</f>
        <v>2235.09</v>
      </c>
      <c r="L140" s="23">
        <f>20000*C140-G140-K140</f>
        <v>10314.61</v>
      </c>
      <c r="M140" s="23"/>
      <c r="N140" s="23"/>
      <c r="O140" s="23"/>
      <c r="P140" s="23"/>
      <c r="Q140" s="23"/>
      <c r="R140" s="23">
        <f>G140+K140+L140</f>
        <v>20000</v>
      </c>
      <c r="S140" s="25">
        <f>R140*10</f>
        <v>200000</v>
      </c>
    </row>
    <row r="141" spans="1:20" x14ac:dyDescent="0.25">
      <c r="A141" s="20" t="s">
        <v>225</v>
      </c>
      <c r="B141" s="21" t="s">
        <v>91</v>
      </c>
      <c r="C141" s="22">
        <v>1</v>
      </c>
      <c r="D141" s="22">
        <v>7</v>
      </c>
      <c r="E141" s="23">
        <v>4920</v>
      </c>
      <c r="F141" s="22"/>
      <c r="G141" s="23">
        <f t="shared" si="62"/>
        <v>4920</v>
      </c>
      <c r="H141" s="23"/>
      <c r="I141" s="23"/>
      <c r="J141" s="23"/>
      <c r="K141" s="23">
        <f>G141*0.3</f>
        <v>1476</v>
      </c>
      <c r="L141" s="23">
        <f>13500-G141-K141</f>
        <v>7104</v>
      </c>
      <c r="M141" s="23"/>
      <c r="N141" s="23"/>
      <c r="O141" s="23"/>
      <c r="P141" s="23"/>
      <c r="Q141" s="23"/>
      <c r="R141" s="23">
        <f>G141+K141+L141</f>
        <v>13500</v>
      </c>
      <c r="S141" s="25">
        <f>R141*10</f>
        <v>135000</v>
      </c>
    </row>
    <row r="142" spans="1:20" x14ac:dyDescent="0.25">
      <c r="A142" s="20" t="s">
        <v>226</v>
      </c>
      <c r="B142" s="21" t="s">
        <v>134</v>
      </c>
      <c r="C142" s="22">
        <v>1</v>
      </c>
      <c r="D142" s="22">
        <v>3</v>
      </c>
      <c r="E142" s="23">
        <v>3770</v>
      </c>
      <c r="F142" s="22"/>
      <c r="G142" s="23">
        <f t="shared" si="62"/>
        <v>3770</v>
      </c>
      <c r="H142" s="23"/>
      <c r="I142" s="23">
        <f>G142*0.1</f>
        <v>377</v>
      </c>
      <c r="J142" s="23"/>
      <c r="K142" s="23"/>
      <c r="L142" s="23"/>
      <c r="M142" s="23"/>
      <c r="N142" s="23"/>
      <c r="O142" s="23"/>
      <c r="P142" s="23">
        <f>8000-G142</f>
        <v>4230</v>
      </c>
      <c r="Q142" s="23"/>
      <c r="R142" s="23">
        <f>SUM(G142:Q142)</f>
        <v>8377</v>
      </c>
      <c r="S142" s="25">
        <f>R142*10</f>
        <v>83770</v>
      </c>
    </row>
    <row r="143" spans="1:20" x14ac:dyDescent="0.25">
      <c r="A143" s="20" t="s">
        <v>228</v>
      </c>
      <c r="B143" s="21" t="s">
        <v>227</v>
      </c>
      <c r="C143" s="22">
        <v>1.75</v>
      </c>
      <c r="D143" s="22">
        <v>1</v>
      </c>
      <c r="E143" s="23">
        <f>3195*C143</f>
        <v>5591.25</v>
      </c>
      <c r="F143" s="22"/>
      <c r="G143" s="23">
        <f t="shared" si="62"/>
        <v>5591.25</v>
      </c>
      <c r="H143" s="23"/>
      <c r="I143" s="23"/>
      <c r="J143" s="23"/>
      <c r="K143" s="23"/>
      <c r="L143" s="23"/>
      <c r="M143" s="23"/>
      <c r="N143" s="23"/>
      <c r="O143" s="23"/>
      <c r="P143" s="23">
        <f>8000*C143-G143</f>
        <v>8408.75</v>
      </c>
      <c r="Q143" s="23"/>
      <c r="R143" s="23">
        <f>SUM(G143:Q143)</f>
        <v>14000</v>
      </c>
      <c r="S143" s="25">
        <f>R143*4</f>
        <v>56000</v>
      </c>
    </row>
    <row r="144" spans="1:20" s="38" customFormat="1" x14ac:dyDescent="0.25">
      <c r="A144" s="20" t="s">
        <v>231</v>
      </c>
      <c r="B144" s="21" t="s">
        <v>229</v>
      </c>
      <c r="C144" s="22">
        <v>0.5</v>
      </c>
      <c r="D144" s="22">
        <v>1</v>
      </c>
      <c r="E144" s="23">
        <v>1597.5</v>
      </c>
      <c r="F144" s="22"/>
      <c r="G144" s="23">
        <f t="shared" si="62"/>
        <v>1597.5</v>
      </c>
      <c r="H144" s="23"/>
      <c r="I144" s="23"/>
      <c r="J144" s="23"/>
      <c r="K144" s="23"/>
      <c r="L144" s="23"/>
      <c r="M144" s="23"/>
      <c r="N144" s="23"/>
      <c r="O144" s="23"/>
      <c r="P144" s="23">
        <f>4000-G144</f>
        <v>2402.5</v>
      </c>
      <c r="Q144" s="23"/>
      <c r="R144" s="23">
        <f>SUM(G144:Q144)</f>
        <v>4000</v>
      </c>
      <c r="S144" s="25">
        <f>R144*10</f>
        <v>40000</v>
      </c>
    </row>
    <row r="145" spans="1:20" s="27" customFormat="1" ht="22.2" customHeight="1" thickBot="1" x14ac:dyDescent="0.3">
      <c r="A145" s="64"/>
      <c r="B145" s="47" t="s">
        <v>59</v>
      </c>
      <c r="C145" s="34">
        <f>SUM(C140:C144)</f>
        <v>5.25</v>
      </c>
      <c r="D145" s="34"/>
      <c r="E145" s="35">
        <f>SUM(E140:E144)</f>
        <v>22651.75</v>
      </c>
      <c r="F145" s="34">
        <f>SUM(F140:F144)</f>
        <v>677.30000000000007</v>
      </c>
      <c r="G145" s="35">
        <f t="shared" si="62"/>
        <v>23329.05</v>
      </c>
      <c r="H145" s="35"/>
      <c r="I145" s="35">
        <f>SUM(I142:I144)</f>
        <v>377</v>
      </c>
      <c r="J145" s="35"/>
      <c r="K145" s="35">
        <f>SUM(K140:K144)</f>
        <v>3711.09</v>
      </c>
      <c r="L145" s="35">
        <f>SUM(L140:L144)</f>
        <v>17418.61</v>
      </c>
      <c r="M145" s="35"/>
      <c r="N145" s="35"/>
      <c r="O145" s="35"/>
      <c r="P145" s="35">
        <f>SUM(P140:P144)</f>
        <v>15041.25</v>
      </c>
      <c r="Q145" s="35"/>
      <c r="R145" s="35">
        <f>SUM(R140:R144)</f>
        <v>59877</v>
      </c>
      <c r="S145" s="36">
        <f>SUM(S140:S144)</f>
        <v>514770</v>
      </c>
    </row>
    <row r="146" spans="1:20" ht="20.399999999999999" customHeight="1" x14ac:dyDescent="0.25">
      <c r="A146" s="15"/>
      <c r="B146" s="55" t="s">
        <v>230</v>
      </c>
      <c r="C146" s="85"/>
      <c r="D146" s="85"/>
      <c r="E146" s="94"/>
      <c r="F146" s="85"/>
      <c r="G146" s="94"/>
      <c r="H146" s="94"/>
      <c r="I146" s="94"/>
      <c r="J146" s="94"/>
      <c r="K146" s="94"/>
      <c r="L146" s="94"/>
      <c r="M146" s="94"/>
      <c r="N146" s="94"/>
      <c r="O146" s="94"/>
      <c r="P146" s="94"/>
      <c r="Q146" s="94"/>
      <c r="R146" s="94"/>
      <c r="S146" s="110"/>
    </row>
    <row r="147" spans="1:20" x14ac:dyDescent="0.25">
      <c r="A147" s="20" t="s">
        <v>233</v>
      </c>
      <c r="B147" s="21" t="s">
        <v>232</v>
      </c>
      <c r="C147" s="22">
        <v>1.25</v>
      </c>
      <c r="D147" s="22">
        <v>13</v>
      </c>
      <c r="E147" s="23">
        <f>7253*C147</f>
        <v>9066.25</v>
      </c>
      <c r="F147" s="22">
        <f>E147*0.1</f>
        <v>906.625</v>
      </c>
      <c r="G147" s="23">
        <f t="shared" ref="G147:G151" si="63">E147+F147</f>
        <v>9972.875</v>
      </c>
      <c r="H147" s="23"/>
      <c r="I147" s="23"/>
      <c r="J147" s="23"/>
      <c r="K147" s="23">
        <f>G147*0.3</f>
        <v>2991.8624999999997</v>
      </c>
      <c r="L147" s="23">
        <f>20000*C147-G147-K147</f>
        <v>12035.262500000001</v>
      </c>
      <c r="M147" s="23"/>
      <c r="N147" s="23"/>
      <c r="O147" s="23"/>
      <c r="P147" s="23"/>
      <c r="Q147" s="23"/>
      <c r="R147" s="23">
        <f>G147+K147+L147+O147</f>
        <v>25000</v>
      </c>
      <c r="S147" s="25">
        <f>R147*10</f>
        <v>250000</v>
      </c>
    </row>
    <row r="148" spans="1:20" x14ac:dyDescent="0.25">
      <c r="A148" s="20" t="s">
        <v>234</v>
      </c>
      <c r="B148" s="21" t="s">
        <v>212</v>
      </c>
      <c r="C148" s="22">
        <v>2</v>
      </c>
      <c r="D148" s="22">
        <v>10</v>
      </c>
      <c r="E148" s="23">
        <f>5815*C148</f>
        <v>11630</v>
      </c>
      <c r="F148" s="22"/>
      <c r="G148" s="23">
        <f t="shared" si="63"/>
        <v>11630</v>
      </c>
      <c r="H148" s="23"/>
      <c r="I148" s="23"/>
      <c r="J148" s="23"/>
      <c r="K148" s="23">
        <f t="shared" ref="K148:K149" si="64">G148*0.3</f>
        <v>3489</v>
      </c>
      <c r="L148" s="23">
        <f>13500*C148-G148-K148</f>
        <v>11881</v>
      </c>
      <c r="M148" s="23"/>
      <c r="N148" s="23"/>
      <c r="O148" s="23"/>
      <c r="P148" s="23"/>
      <c r="Q148" s="23"/>
      <c r="R148" s="23">
        <f>G148+K148+L148</f>
        <v>27000</v>
      </c>
      <c r="S148" s="25">
        <f>R148*10</f>
        <v>270000</v>
      </c>
    </row>
    <row r="149" spans="1:20" s="13" customFormat="1" x14ac:dyDescent="0.25">
      <c r="A149" s="20" t="s">
        <v>236</v>
      </c>
      <c r="B149" s="21" t="s">
        <v>235</v>
      </c>
      <c r="C149" s="22">
        <v>1</v>
      </c>
      <c r="D149" s="22">
        <v>7</v>
      </c>
      <c r="E149" s="23">
        <v>4920</v>
      </c>
      <c r="F149" s="22"/>
      <c r="G149" s="23">
        <f t="shared" si="63"/>
        <v>4920</v>
      </c>
      <c r="H149" s="23"/>
      <c r="I149" s="23"/>
      <c r="J149" s="23"/>
      <c r="K149" s="23">
        <f t="shared" si="64"/>
        <v>1476</v>
      </c>
      <c r="L149" s="23">
        <f>13500-G149-K149</f>
        <v>7104</v>
      </c>
      <c r="M149" s="23"/>
      <c r="N149" s="23"/>
      <c r="O149" s="23"/>
      <c r="P149" s="23"/>
      <c r="Q149" s="23"/>
      <c r="R149" s="23">
        <f>G149+L149+K149</f>
        <v>13500</v>
      </c>
      <c r="S149" s="25">
        <f>R149*10</f>
        <v>135000</v>
      </c>
    </row>
    <row r="150" spans="1:20" s="38" customFormat="1" x14ac:dyDescent="0.25">
      <c r="A150" s="20" t="s">
        <v>238</v>
      </c>
      <c r="B150" s="21" t="s">
        <v>134</v>
      </c>
      <c r="C150" s="22">
        <v>1</v>
      </c>
      <c r="D150" s="22">
        <v>3</v>
      </c>
      <c r="E150" s="23">
        <v>3770</v>
      </c>
      <c r="F150" s="22"/>
      <c r="G150" s="23">
        <f t="shared" si="63"/>
        <v>3770</v>
      </c>
      <c r="H150" s="23"/>
      <c r="I150" s="23">
        <f>G150*0.1</f>
        <v>377</v>
      </c>
      <c r="J150" s="23"/>
      <c r="K150" s="23"/>
      <c r="L150" s="23"/>
      <c r="M150" s="23"/>
      <c r="N150" s="23"/>
      <c r="O150" s="23"/>
      <c r="P150" s="23">
        <f>8000-G150</f>
        <v>4230</v>
      </c>
      <c r="Q150" s="23"/>
      <c r="R150" s="23">
        <f>G150+I150+P150</f>
        <v>8377</v>
      </c>
      <c r="S150" s="25">
        <f>R150*10</f>
        <v>83770</v>
      </c>
      <c r="T150" s="46"/>
    </row>
    <row r="151" spans="1:20" s="27" customFormat="1" ht="22.2" customHeight="1" thickBot="1" x14ac:dyDescent="0.3">
      <c r="A151" s="64"/>
      <c r="B151" s="47" t="s">
        <v>59</v>
      </c>
      <c r="C151" s="34">
        <f>SUM(C147:C150)</f>
        <v>5.25</v>
      </c>
      <c r="D151" s="34"/>
      <c r="E151" s="35">
        <f>SUM(E147:E150)</f>
        <v>29386.25</v>
      </c>
      <c r="F151" s="34">
        <f>SUM(F147:F150)</f>
        <v>906.625</v>
      </c>
      <c r="G151" s="35">
        <f t="shared" si="63"/>
        <v>30292.875</v>
      </c>
      <c r="H151" s="35"/>
      <c r="I151" s="35">
        <f>SUM(I150)</f>
        <v>377</v>
      </c>
      <c r="J151" s="35"/>
      <c r="K151" s="35">
        <f>SUM(K147:K150)</f>
        <v>7956.8624999999993</v>
      </c>
      <c r="L151" s="35">
        <f>SUM(L147:L150)</f>
        <v>31020.262500000001</v>
      </c>
      <c r="M151" s="35">
        <f>SUM(M147:M149)</f>
        <v>0</v>
      </c>
      <c r="N151" s="35"/>
      <c r="O151" s="35">
        <f>SUM(O147:O150)</f>
        <v>0</v>
      </c>
      <c r="P151" s="35">
        <f>SUM(P150)</f>
        <v>4230</v>
      </c>
      <c r="Q151" s="35"/>
      <c r="R151" s="35">
        <f>SUM(R147:R150)</f>
        <v>73877</v>
      </c>
      <c r="S151" s="36">
        <f>SUM(S147:S150)</f>
        <v>738770</v>
      </c>
    </row>
    <row r="152" spans="1:20" ht="19.8" customHeight="1" x14ac:dyDescent="0.25">
      <c r="A152" s="15"/>
      <c r="B152" s="55" t="s">
        <v>237</v>
      </c>
      <c r="C152" s="85"/>
      <c r="D152" s="85"/>
      <c r="E152" s="94"/>
      <c r="F152" s="85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110"/>
    </row>
    <row r="153" spans="1:20" x14ac:dyDescent="0.25">
      <c r="A153" s="20" t="s">
        <v>239</v>
      </c>
      <c r="B153" s="21" t="s">
        <v>206</v>
      </c>
      <c r="C153" s="22">
        <v>2</v>
      </c>
      <c r="D153" s="22">
        <v>11</v>
      </c>
      <c r="E153" s="23">
        <f>6294*C153</f>
        <v>12588</v>
      </c>
      <c r="F153" s="22">
        <f>E153*0.1</f>
        <v>1258.8000000000002</v>
      </c>
      <c r="G153" s="23">
        <f t="shared" ref="G153:G158" si="65">E153+F153</f>
        <v>13846.8</v>
      </c>
      <c r="H153" s="23"/>
      <c r="I153" s="23"/>
      <c r="J153" s="23"/>
      <c r="K153" s="23">
        <f>G153*0.3</f>
        <v>4154.04</v>
      </c>
      <c r="L153" s="23">
        <f>20000*C153-G153-K153</f>
        <v>21999.16</v>
      </c>
      <c r="M153" s="23"/>
      <c r="N153" s="23"/>
      <c r="O153" s="23"/>
      <c r="P153" s="23"/>
      <c r="Q153" s="23"/>
      <c r="R153" s="23">
        <f>SUM(G153:Q153)</f>
        <v>40000</v>
      </c>
      <c r="S153" s="25">
        <f>R153*10</f>
        <v>400000</v>
      </c>
    </row>
    <row r="154" spans="1:20" x14ac:dyDescent="0.25">
      <c r="A154" s="20" t="s">
        <v>240</v>
      </c>
      <c r="B154" s="21" t="s">
        <v>241</v>
      </c>
      <c r="C154" s="22">
        <v>2</v>
      </c>
      <c r="D154" s="22">
        <v>10</v>
      </c>
      <c r="E154" s="23">
        <f>5815*C154</f>
        <v>11630</v>
      </c>
      <c r="F154" s="22"/>
      <c r="G154" s="23">
        <f t="shared" si="65"/>
        <v>11630</v>
      </c>
      <c r="H154" s="23"/>
      <c r="I154" s="23"/>
      <c r="J154" s="23"/>
      <c r="K154" s="23">
        <f t="shared" ref="K154:K155" si="66">G154*0.3</f>
        <v>3489</v>
      </c>
      <c r="L154" s="23">
        <f>13500*C154-G154-K154</f>
        <v>11881</v>
      </c>
      <c r="M154" s="23"/>
      <c r="N154" s="23"/>
      <c r="O154" s="23"/>
      <c r="P154" s="23"/>
      <c r="Q154" s="23"/>
      <c r="R154" s="23">
        <f>G154+K154+L154</f>
        <v>27000</v>
      </c>
      <c r="S154" s="25">
        <f t="shared" ref="S154:S157" si="67">R154*10</f>
        <v>270000</v>
      </c>
    </row>
    <row r="155" spans="1:20" s="13" customFormat="1" x14ac:dyDescent="0.25">
      <c r="A155" s="20" t="s">
        <v>242</v>
      </c>
      <c r="B155" s="21" t="s">
        <v>91</v>
      </c>
      <c r="C155" s="22">
        <v>2</v>
      </c>
      <c r="D155" s="22">
        <v>9</v>
      </c>
      <c r="E155" s="23">
        <f>5527*C155</f>
        <v>11054</v>
      </c>
      <c r="F155" s="22"/>
      <c r="G155" s="23">
        <f t="shared" si="65"/>
        <v>11054</v>
      </c>
      <c r="H155" s="23"/>
      <c r="I155" s="23"/>
      <c r="J155" s="23"/>
      <c r="K155" s="23">
        <f t="shared" si="66"/>
        <v>3316.2</v>
      </c>
      <c r="L155" s="23">
        <f>13500*C155-G155-K155</f>
        <v>12629.8</v>
      </c>
      <c r="M155" s="23"/>
      <c r="N155" s="23"/>
      <c r="O155" s="23"/>
      <c r="P155" s="23"/>
      <c r="Q155" s="23"/>
      <c r="R155" s="23">
        <f>G155+K155+L155</f>
        <v>27000</v>
      </c>
      <c r="S155" s="25">
        <f t="shared" si="67"/>
        <v>270000</v>
      </c>
    </row>
    <row r="156" spans="1:20" x14ac:dyDescent="0.25">
      <c r="A156" s="20" t="s">
        <v>243</v>
      </c>
      <c r="B156" s="21" t="s">
        <v>134</v>
      </c>
      <c r="C156" s="22">
        <v>1</v>
      </c>
      <c r="D156" s="22">
        <v>3</v>
      </c>
      <c r="E156" s="23">
        <v>3770</v>
      </c>
      <c r="F156" s="22"/>
      <c r="G156" s="23">
        <f t="shared" si="65"/>
        <v>3770</v>
      </c>
      <c r="H156" s="23"/>
      <c r="I156" s="23">
        <f>G156*0.1</f>
        <v>377</v>
      </c>
      <c r="J156" s="23"/>
      <c r="K156" s="23"/>
      <c r="L156" s="23"/>
      <c r="M156" s="23"/>
      <c r="N156" s="23"/>
      <c r="O156" s="23"/>
      <c r="P156" s="23">
        <f>8000-G156</f>
        <v>4230</v>
      </c>
      <c r="Q156" s="23"/>
      <c r="R156" s="23">
        <f>SUM(G156:Q156)</f>
        <v>8377</v>
      </c>
      <c r="S156" s="25">
        <f t="shared" si="67"/>
        <v>83770</v>
      </c>
    </row>
    <row r="157" spans="1:20" s="38" customFormat="1" x14ac:dyDescent="0.25">
      <c r="A157" s="20" t="s">
        <v>244</v>
      </c>
      <c r="B157" s="21" t="s">
        <v>245</v>
      </c>
      <c r="C157" s="22">
        <v>1</v>
      </c>
      <c r="D157" s="22">
        <v>5</v>
      </c>
      <c r="E157" s="23">
        <v>4345</v>
      </c>
      <c r="F157" s="22"/>
      <c r="G157" s="23">
        <f t="shared" si="65"/>
        <v>4345</v>
      </c>
      <c r="H157" s="23"/>
      <c r="I157" s="23"/>
      <c r="J157" s="23"/>
      <c r="K157" s="23"/>
      <c r="L157" s="23"/>
      <c r="M157" s="23"/>
      <c r="N157" s="23"/>
      <c r="O157" s="23"/>
      <c r="P157" s="23">
        <f>8000-G157</f>
        <v>3655</v>
      </c>
      <c r="Q157" s="23"/>
      <c r="R157" s="23">
        <f>G157+P157</f>
        <v>8000</v>
      </c>
      <c r="S157" s="25">
        <f t="shared" si="67"/>
        <v>80000</v>
      </c>
    </row>
    <row r="158" spans="1:20" s="27" customFormat="1" ht="24.6" customHeight="1" thickBot="1" x14ac:dyDescent="0.3">
      <c r="A158" s="64"/>
      <c r="B158" s="47" t="s">
        <v>59</v>
      </c>
      <c r="C158" s="34">
        <f>SUM(C153:C157)</f>
        <v>8</v>
      </c>
      <c r="D158" s="34"/>
      <c r="E158" s="35">
        <f>SUM(E153:E157)</f>
        <v>43387</v>
      </c>
      <c r="F158" s="34">
        <f>SUM(F153:F157)</f>
        <v>1258.8000000000002</v>
      </c>
      <c r="G158" s="35">
        <f t="shared" si="65"/>
        <v>44645.8</v>
      </c>
      <c r="H158" s="35"/>
      <c r="I158" s="35">
        <f>SUM(I156:I157)</f>
        <v>377</v>
      </c>
      <c r="J158" s="35"/>
      <c r="K158" s="35">
        <f>SUM(K153:K157)</f>
        <v>10959.24</v>
      </c>
      <c r="L158" s="35">
        <f>SUM(L153:L157)</f>
        <v>46509.960000000006</v>
      </c>
      <c r="M158" s="35" t="e">
        <f>M153+#REF!</f>
        <v>#REF!</v>
      </c>
      <c r="N158" s="35"/>
      <c r="O158" s="35">
        <f>SUM(O153:O157)</f>
        <v>0</v>
      </c>
      <c r="P158" s="35">
        <f>SUM(P156:P157)</f>
        <v>7885</v>
      </c>
      <c r="Q158" s="35"/>
      <c r="R158" s="35">
        <f>SUM(R153:R157)</f>
        <v>110377</v>
      </c>
      <c r="S158" s="36">
        <f>SUM(S153:S157)</f>
        <v>1103770</v>
      </c>
    </row>
    <row r="159" spans="1:20" s="13" customFormat="1" ht="18" customHeight="1" x14ac:dyDescent="0.2">
      <c r="A159" s="18"/>
      <c r="B159" s="55" t="s">
        <v>246</v>
      </c>
      <c r="C159" s="85"/>
      <c r="D159" s="85"/>
      <c r="E159" s="94"/>
      <c r="F159" s="85"/>
      <c r="G159" s="94"/>
      <c r="H159" s="94"/>
      <c r="I159" s="94"/>
      <c r="J159" s="94"/>
      <c r="K159" s="94"/>
      <c r="L159" s="94"/>
      <c r="M159" s="94"/>
      <c r="N159" s="94"/>
      <c r="O159" s="94"/>
      <c r="P159" s="94"/>
      <c r="Q159" s="94"/>
      <c r="R159" s="94"/>
      <c r="S159" s="110"/>
    </row>
    <row r="160" spans="1:20" x14ac:dyDescent="0.25">
      <c r="A160" s="20" t="s">
        <v>247</v>
      </c>
      <c r="B160" s="21" t="s">
        <v>232</v>
      </c>
      <c r="C160" s="22">
        <v>1.25</v>
      </c>
      <c r="D160" s="22">
        <v>11</v>
      </c>
      <c r="E160" s="23">
        <f>6294*C160</f>
        <v>7867.5</v>
      </c>
      <c r="F160" s="22">
        <f>E160*0.1</f>
        <v>786.75</v>
      </c>
      <c r="G160" s="23">
        <f t="shared" ref="G160:G163" si="68">E160+F160</f>
        <v>8654.25</v>
      </c>
      <c r="H160" s="23"/>
      <c r="I160" s="23"/>
      <c r="J160" s="23"/>
      <c r="K160" s="23">
        <f>G160*0.3</f>
        <v>2596.2750000000001</v>
      </c>
      <c r="L160" s="23">
        <f>20000*C160-G160-K160</f>
        <v>13749.475</v>
      </c>
      <c r="M160" s="23"/>
      <c r="N160" s="23"/>
      <c r="O160" s="23"/>
      <c r="P160" s="23"/>
      <c r="Q160" s="23"/>
      <c r="R160" s="23">
        <f>G160+K160+L160+O160</f>
        <v>25000</v>
      </c>
      <c r="S160" s="25">
        <f>R160*10</f>
        <v>250000</v>
      </c>
      <c r="T160" s="53"/>
    </row>
    <row r="161" spans="1:20" x14ac:dyDescent="0.25">
      <c r="A161" s="20" t="s">
        <v>248</v>
      </c>
      <c r="B161" s="21" t="s">
        <v>235</v>
      </c>
      <c r="C161" s="22">
        <v>1</v>
      </c>
      <c r="D161" s="22">
        <v>10</v>
      </c>
      <c r="E161" s="23">
        <v>5815</v>
      </c>
      <c r="F161" s="22"/>
      <c r="G161" s="23">
        <f t="shared" si="68"/>
        <v>5815</v>
      </c>
      <c r="H161" s="23"/>
      <c r="I161" s="23"/>
      <c r="J161" s="23"/>
      <c r="K161" s="23">
        <f t="shared" ref="K161:K162" si="69">G161*0.3</f>
        <v>1744.5</v>
      </c>
      <c r="L161" s="23">
        <f>13500-G161-K161</f>
        <v>5940.5</v>
      </c>
      <c r="M161" s="23"/>
      <c r="N161" s="23"/>
      <c r="O161" s="23"/>
      <c r="P161" s="23"/>
      <c r="Q161" s="23"/>
      <c r="R161" s="23">
        <f>G161+K161+L161</f>
        <v>13500</v>
      </c>
      <c r="S161" s="25">
        <f t="shared" ref="S161:S164" si="70">R161*10</f>
        <v>135000</v>
      </c>
    </row>
    <row r="162" spans="1:20" x14ac:dyDescent="0.25">
      <c r="A162" s="20" t="s">
        <v>249</v>
      </c>
      <c r="B162" s="21" t="s">
        <v>91</v>
      </c>
      <c r="C162" s="22">
        <v>0.5</v>
      </c>
      <c r="D162" s="22">
        <v>10</v>
      </c>
      <c r="E162" s="23">
        <v>2907.5</v>
      </c>
      <c r="F162" s="22"/>
      <c r="G162" s="23">
        <f t="shared" si="68"/>
        <v>2907.5</v>
      </c>
      <c r="H162" s="23"/>
      <c r="I162" s="23"/>
      <c r="J162" s="23"/>
      <c r="K162" s="23">
        <f t="shared" si="69"/>
        <v>872.25</v>
      </c>
      <c r="L162" s="23">
        <f>13500/2-G162-K162</f>
        <v>2970.25</v>
      </c>
      <c r="M162" s="23"/>
      <c r="N162" s="23"/>
      <c r="O162" s="23"/>
      <c r="P162" s="23"/>
      <c r="Q162" s="23"/>
      <c r="R162" s="23">
        <f>G162+K162+L162</f>
        <v>6750</v>
      </c>
      <c r="S162" s="25">
        <f t="shared" si="70"/>
        <v>67500</v>
      </c>
    </row>
    <row r="163" spans="1:20" x14ac:dyDescent="0.25">
      <c r="A163" s="20" t="s">
        <v>250</v>
      </c>
      <c r="B163" s="21" t="s">
        <v>134</v>
      </c>
      <c r="C163" s="22">
        <v>0.5</v>
      </c>
      <c r="D163" s="22">
        <v>3</v>
      </c>
      <c r="E163" s="23">
        <v>1885</v>
      </c>
      <c r="F163" s="22"/>
      <c r="G163" s="23">
        <f t="shared" si="68"/>
        <v>1885</v>
      </c>
      <c r="H163" s="23"/>
      <c r="I163" s="23">
        <f>G163*0.1</f>
        <v>188.5</v>
      </c>
      <c r="J163" s="23"/>
      <c r="K163" s="23"/>
      <c r="L163" s="23"/>
      <c r="M163" s="23"/>
      <c r="N163" s="23"/>
      <c r="O163" s="23"/>
      <c r="P163" s="23">
        <f>8000/2-G163</f>
        <v>2115</v>
      </c>
      <c r="Q163" s="23"/>
      <c r="R163" s="23">
        <f>SUM(G163:Q163)</f>
        <v>4188.5</v>
      </c>
      <c r="S163" s="25">
        <f t="shared" si="70"/>
        <v>41885</v>
      </c>
    </row>
    <row r="164" spans="1:20" s="38" customFormat="1" x14ac:dyDescent="0.25">
      <c r="A164" s="20" t="s">
        <v>251</v>
      </c>
      <c r="B164" s="21" t="s">
        <v>229</v>
      </c>
      <c r="C164" s="22">
        <v>0.5</v>
      </c>
      <c r="D164" s="22">
        <v>1</v>
      </c>
      <c r="E164" s="23">
        <v>1597.5</v>
      </c>
      <c r="F164" s="22"/>
      <c r="G164" s="23">
        <f>E164+F164</f>
        <v>1597.5</v>
      </c>
      <c r="H164" s="23"/>
      <c r="I164" s="23"/>
      <c r="J164" s="23"/>
      <c r="K164" s="23"/>
      <c r="L164" s="23"/>
      <c r="M164" s="23"/>
      <c r="N164" s="23"/>
      <c r="O164" s="23"/>
      <c r="P164" s="23">
        <f>8000/2-G164</f>
        <v>2402.5</v>
      </c>
      <c r="Q164" s="23"/>
      <c r="R164" s="23">
        <f t="shared" ref="R164" si="71">SUM(G164:Q164)</f>
        <v>4000</v>
      </c>
      <c r="S164" s="25">
        <f t="shared" si="70"/>
        <v>40000</v>
      </c>
    </row>
    <row r="165" spans="1:20" s="49" customFormat="1" ht="20.399999999999999" customHeight="1" thickBot="1" x14ac:dyDescent="0.3">
      <c r="A165" s="64"/>
      <c r="B165" s="47" t="s">
        <v>59</v>
      </c>
      <c r="C165" s="34">
        <f>SUM(C160:C164)</f>
        <v>3.75</v>
      </c>
      <c r="D165" s="34"/>
      <c r="E165" s="35">
        <f>SUM(E160:E164)</f>
        <v>20072.5</v>
      </c>
      <c r="F165" s="34">
        <f>SUM(F160:F164)</f>
        <v>786.75</v>
      </c>
      <c r="G165" s="35">
        <f>SUM(G160:G164)</f>
        <v>20859.25</v>
      </c>
      <c r="H165" s="35"/>
      <c r="I165" s="35">
        <f>SUM(I163:I164)</f>
        <v>188.5</v>
      </c>
      <c r="J165" s="35"/>
      <c r="K165" s="35">
        <f>SUM(K160:K164)</f>
        <v>5213.0249999999996</v>
      </c>
      <c r="L165" s="35">
        <f>SUM(L160:L164)</f>
        <v>22660.224999999999</v>
      </c>
      <c r="M165" s="35"/>
      <c r="N165" s="35"/>
      <c r="O165" s="35">
        <f>SUM(O160:O164)</f>
        <v>0</v>
      </c>
      <c r="P165" s="35">
        <f>SUM(P163:P164)</f>
        <v>4517.5</v>
      </c>
      <c r="Q165" s="35"/>
      <c r="R165" s="35">
        <f>SUM(R160:R164)</f>
        <v>53438.5</v>
      </c>
      <c r="S165" s="36">
        <f>SUM(S160:S164)</f>
        <v>534385</v>
      </c>
    </row>
    <row r="166" spans="1:20" s="13" customFormat="1" ht="23.4" customHeight="1" x14ac:dyDescent="0.2">
      <c r="A166" s="18"/>
      <c r="B166" s="55" t="s">
        <v>252</v>
      </c>
      <c r="C166" s="85"/>
      <c r="D166" s="85"/>
      <c r="E166" s="94"/>
      <c r="F166" s="85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  <c r="S166" s="110"/>
    </row>
    <row r="167" spans="1:20" s="13" customFormat="1" x14ac:dyDescent="0.25">
      <c r="A167" s="20" t="s">
        <v>253</v>
      </c>
      <c r="B167" s="21" t="s">
        <v>206</v>
      </c>
      <c r="C167" s="22">
        <v>1</v>
      </c>
      <c r="D167" s="22">
        <v>14</v>
      </c>
      <c r="E167" s="23">
        <v>7732</v>
      </c>
      <c r="F167" s="22">
        <f>E167*0.1</f>
        <v>773.2</v>
      </c>
      <c r="G167" s="23">
        <f t="shared" ref="G167:G174" si="72">E167+F167</f>
        <v>8505.2000000000007</v>
      </c>
      <c r="H167" s="23"/>
      <c r="I167" s="23"/>
      <c r="J167" s="23"/>
      <c r="K167" s="23">
        <f>G167*0.3</f>
        <v>2551.56</v>
      </c>
      <c r="L167" s="23">
        <f>20000-G167-K167</f>
        <v>8943.24</v>
      </c>
      <c r="M167" s="23"/>
      <c r="N167" s="23"/>
      <c r="O167" s="23"/>
      <c r="P167" s="23"/>
      <c r="Q167" s="23"/>
      <c r="R167" s="23">
        <f>G167+K167+L167+O167</f>
        <v>20000</v>
      </c>
      <c r="S167" s="25">
        <f>R167*10</f>
        <v>200000</v>
      </c>
    </row>
    <row r="168" spans="1:20" s="13" customFormat="1" x14ac:dyDescent="0.25">
      <c r="A168" s="20" t="s">
        <v>254</v>
      </c>
      <c r="B168" s="21" t="s">
        <v>112</v>
      </c>
      <c r="C168" s="22">
        <v>0.5</v>
      </c>
      <c r="D168" s="22">
        <v>13</v>
      </c>
      <c r="E168" s="23">
        <f>7253*C168</f>
        <v>3626.5</v>
      </c>
      <c r="F168" s="22"/>
      <c r="G168" s="23">
        <f t="shared" si="72"/>
        <v>3626.5</v>
      </c>
      <c r="H168" s="23"/>
      <c r="I168" s="23"/>
      <c r="J168" s="23"/>
      <c r="K168" s="23">
        <f t="shared" ref="K168:K171" si="73">G168*0.3</f>
        <v>1087.95</v>
      </c>
      <c r="L168" s="23">
        <f>20000*C168-G168-K168</f>
        <v>5285.55</v>
      </c>
      <c r="M168" s="23"/>
      <c r="N168" s="23"/>
      <c r="O168" s="23"/>
      <c r="P168" s="23"/>
      <c r="Q168" s="23"/>
      <c r="R168" s="23">
        <f>G168+K168+L168+O168</f>
        <v>10000</v>
      </c>
      <c r="S168" s="25">
        <f t="shared" ref="S168:S173" si="74">R168*10</f>
        <v>100000</v>
      </c>
    </row>
    <row r="169" spans="1:20" x14ac:dyDescent="0.25">
      <c r="A169" s="20" t="s">
        <v>255</v>
      </c>
      <c r="B169" s="21" t="s">
        <v>171</v>
      </c>
      <c r="C169" s="22">
        <v>1</v>
      </c>
      <c r="D169" s="22">
        <v>11</v>
      </c>
      <c r="E169" s="23">
        <v>6294</v>
      </c>
      <c r="F169" s="22"/>
      <c r="G169" s="23">
        <f t="shared" si="72"/>
        <v>6294</v>
      </c>
      <c r="H169" s="23"/>
      <c r="I169" s="23"/>
      <c r="J169" s="23"/>
      <c r="K169" s="23">
        <f t="shared" si="73"/>
        <v>1888.1999999999998</v>
      </c>
      <c r="L169" s="23">
        <f>20000-G169-K169</f>
        <v>11817.8</v>
      </c>
      <c r="M169" s="23"/>
      <c r="N169" s="23"/>
      <c r="O169" s="23"/>
      <c r="P169" s="23"/>
      <c r="Q169" s="23"/>
      <c r="R169" s="23">
        <f>G169+K169+L169+O169</f>
        <v>20000</v>
      </c>
      <c r="S169" s="25">
        <f t="shared" si="74"/>
        <v>200000</v>
      </c>
    </row>
    <row r="170" spans="1:20" x14ac:dyDescent="0.25">
      <c r="A170" s="20" t="s">
        <v>256</v>
      </c>
      <c r="B170" s="21" t="s">
        <v>212</v>
      </c>
      <c r="C170" s="22">
        <v>1</v>
      </c>
      <c r="D170" s="22">
        <v>10</v>
      </c>
      <c r="E170" s="23">
        <v>5815</v>
      </c>
      <c r="F170" s="22"/>
      <c r="G170" s="23">
        <f t="shared" si="72"/>
        <v>5815</v>
      </c>
      <c r="H170" s="23"/>
      <c r="I170" s="23"/>
      <c r="J170" s="23"/>
      <c r="K170" s="23">
        <f t="shared" si="73"/>
        <v>1744.5</v>
      </c>
      <c r="L170" s="23">
        <f>13500-G170-K170</f>
        <v>5940.5</v>
      </c>
      <c r="M170" s="23"/>
      <c r="N170" s="23"/>
      <c r="O170" s="23"/>
      <c r="P170" s="23"/>
      <c r="Q170" s="23"/>
      <c r="R170" s="23">
        <f>G170+K170+L170</f>
        <v>13500</v>
      </c>
      <c r="S170" s="25">
        <f t="shared" si="74"/>
        <v>135000</v>
      </c>
    </row>
    <row r="171" spans="1:20" x14ac:dyDescent="0.25">
      <c r="A171" s="20" t="s">
        <v>257</v>
      </c>
      <c r="B171" s="21" t="s">
        <v>235</v>
      </c>
      <c r="C171" s="22">
        <v>2</v>
      </c>
      <c r="D171" s="22">
        <v>10</v>
      </c>
      <c r="E171" s="23">
        <f>5815*C171</f>
        <v>11630</v>
      </c>
      <c r="F171" s="22"/>
      <c r="G171" s="23">
        <f t="shared" si="72"/>
        <v>11630</v>
      </c>
      <c r="H171" s="23"/>
      <c r="I171" s="23"/>
      <c r="J171" s="23"/>
      <c r="K171" s="23">
        <f t="shared" si="73"/>
        <v>3489</v>
      </c>
      <c r="L171" s="23">
        <f>13500*C171-G171-K171</f>
        <v>11881</v>
      </c>
      <c r="M171" s="23"/>
      <c r="N171" s="23"/>
      <c r="O171" s="23"/>
      <c r="P171" s="23"/>
      <c r="Q171" s="23"/>
      <c r="R171" s="23">
        <f t="shared" ref="R171" si="75">G171+K171+L171</f>
        <v>27000</v>
      </c>
      <c r="S171" s="25">
        <f t="shared" si="74"/>
        <v>270000</v>
      </c>
    </row>
    <row r="172" spans="1:20" x14ac:dyDescent="0.25">
      <c r="A172" s="20" t="s">
        <v>258</v>
      </c>
      <c r="B172" s="21" t="s">
        <v>134</v>
      </c>
      <c r="C172" s="22">
        <v>1</v>
      </c>
      <c r="D172" s="22">
        <v>3</v>
      </c>
      <c r="E172" s="23">
        <v>3770</v>
      </c>
      <c r="F172" s="22"/>
      <c r="G172" s="23">
        <f t="shared" si="72"/>
        <v>3770</v>
      </c>
      <c r="H172" s="23"/>
      <c r="I172" s="23">
        <f>G172*0.1</f>
        <v>377</v>
      </c>
      <c r="J172" s="23"/>
      <c r="K172" s="23"/>
      <c r="L172" s="23"/>
      <c r="M172" s="23"/>
      <c r="N172" s="23"/>
      <c r="O172" s="23"/>
      <c r="P172" s="23">
        <f>8000-G172</f>
        <v>4230</v>
      </c>
      <c r="Q172" s="23"/>
      <c r="R172" s="23">
        <f>G172+I172+P172</f>
        <v>8377</v>
      </c>
      <c r="S172" s="25">
        <f t="shared" si="74"/>
        <v>83770</v>
      </c>
      <c r="T172" s="53"/>
    </row>
    <row r="173" spans="1:20" s="38" customFormat="1" x14ac:dyDescent="0.25">
      <c r="A173" s="20" t="s">
        <v>260</v>
      </c>
      <c r="B173" s="21" t="s">
        <v>245</v>
      </c>
      <c r="C173" s="22">
        <v>0.5</v>
      </c>
      <c r="D173" s="22">
        <v>5</v>
      </c>
      <c r="E173" s="23">
        <v>2172.5</v>
      </c>
      <c r="F173" s="22"/>
      <c r="G173" s="23">
        <f t="shared" si="72"/>
        <v>2172.5</v>
      </c>
      <c r="H173" s="23"/>
      <c r="I173" s="23"/>
      <c r="J173" s="23"/>
      <c r="K173" s="23"/>
      <c r="L173" s="23"/>
      <c r="M173" s="23"/>
      <c r="N173" s="23"/>
      <c r="O173" s="23"/>
      <c r="P173" s="23">
        <f>8000/2-G173</f>
        <v>1827.5</v>
      </c>
      <c r="Q173" s="23"/>
      <c r="R173" s="23">
        <f>SUM(G173:Q173)</f>
        <v>4000</v>
      </c>
      <c r="S173" s="25">
        <f t="shared" si="74"/>
        <v>40000</v>
      </c>
    </row>
    <row r="174" spans="1:20" s="49" customFormat="1" ht="21.6" customHeight="1" thickBot="1" x14ac:dyDescent="0.3">
      <c r="A174" s="64"/>
      <c r="B174" s="47" t="s">
        <v>59</v>
      </c>
      <c r="C174" s="34">
        <f>SUM(C167:C173)</f>
        <v>7</v>
      </c>
      <c r="D174" s="34"/>
      <c r="E174" s="35">
        <f>SUM(E167:E173)</f>
        <v>41040</v>
      </c>
      <c r="F174" s="34">
        <f>SUM(F167:F173)</f>
        <v>773.2</v>
      </c>
      <c r="G174" s="35">
        <f t="shared" si="72"/>
        <v>41813.199999999997</v>
      </c>
      <c r="H174" s="35"/>
      <c r="I174" s="35">
        <f>SUM(I172:I173)</f>
        <v>377</v>
      </c>
      <c r="J174" s="35"/>
      <c r="K174" s="35">
        <f>SUM(K167:K173)</f>
        <v>10761.21</v>
      </c>
      <c r="L174" s="35">
        <f>SUM(L167:L173)</f>
        <v>43868.09</v>
      </c>
      <c r="M174" s="35"/>
      <c r="N174" s="35"/>
      <c r="O174" s="35">
        <f>SUM(O167:O173)</f>
        <v>0</v>
      </c>
      <c r="P174" s="35">
        <f>SUM(P167:P173)</f>
        <v>6057.5</v>
      </c>
      <c r="Q174" s="35"/>
      <c r="R174" s="35">
        <f>SUM(R167:R173)</f>
        <v>102877</v>
      </c>
      <c r="S174" s="36">
        <f>SUM(S167:S173)</f>
        <v>1028770</v>
      </c>
    </row>
    <row r="175" spans="1:20" s="13" customFormat="1" ht="18" customHeight="1" x14ac:dyDescent="0.2">
      <c r="A175" s="18"/>
      <c r="B175" s="55" t="s">
        <v>259</v>
      </c>
      <c r="C175" s="85"/>
      <c r="D175" s="85"/>
      <c r="E175" s="94"/>
      <c r="F175" s="85"/>
      <c r="G175" s="94"/>
      <c r="H175" s="94"/>
      <c r="I175" s="94"/>
      <c r="J175" s="94"/>
      <c r="K175" s="94"/>
      <c r="L175" s="94"/>
      <c r="M175" s="94"/>
      <c r="N175" s="94"/>
      <c r="O175" s="94"/>
      <c r="P175" s="94"/>
      <c r="Q175" s="94"/>
      <c r="R175" s="94"/>
      <c r="S175" s="110"/>
    </row>
    <row r="176" spans="1:20" s="13" customFormat="1" x14ac:dyDescent="0.25">
      <c r="A176" s="20" t="s">
        <v>261</v>
      </c>
      <c r="B176" s="21" t="s">
        <v>206</v>
      </c>
      <c r="C176" s="22">
        <v>1</v>
      </c>
      <c r="D176" s="22">
        <v>14</v>
      </c>
      <c r="E176" s="23">
        <f>7732*C176</f>
        <v>7732</v>
      </c>
      <c r="F176" s="22">
        <f>E176*0.1</f>
        <v>773.2</v>
      </c>
      <c r="G176" s="23">
        <f t="shared" ref="G176:G179" si="76">E176+F176</f>
        <v>8505.2000000000007</v>
      </c>
      <c r="H176" s="23"/>
      <c r="I176" s="23"/>
      <c r="J176" s="23"/>
      <c r="K176" s="23"/>
      <c r="L176" s="23">
        <f>20000*C176-G176</f>
        <v>11494.8</v>
      </c>
      <c r="M176" s="23"/>
      <c r="N176" s="23"/>
      <c r="O176" s="23"/>
      <c r="P176" s="23"/>
      <c r="Q176" s="23"/>
      <c r="R176" s="23">
        <f>SUM(G176:Q176)</f>
        <v>20000</v>
      </c>
      <c r="S176" s="25">
        <f>R176*10</f>
        <v>200000</v>
      </c>
    </row>
    <row r="177" spans="1:20" x14ac:dyDescent="0.25">
      <c r="A177" s="20" t="s">
        <v>262</v>
      </c>
      <c r="B177" s="21" t="s">
        <v>235</v>
      </c>
      <c r="C177" s="22">
        <v>1</v>
      </c>
      <c r="D177" s="22">
        <v>10</v>
      </c>
      <c r="E177" s="23">
        <v>5815</v>
      </c>
      <c r="F177" s="22"/>
      <c r="G177" s="23">
        <f t="shared" si="76"/>
        <v>5815</v>
      </c>
      <c r="H177" s="23"/>
      <c r="I177" s="23"/>
      <c r="J177" s="23"/>
      <c r="K177" s="23">
        <f>G177*0.3</f>
        <v>1744.5</v>
      </c>
      <c r="L177" s="23">
        <f>13500-G177-K177</f>
        <v>5940.5</v>
      </c>
      <c r="M177" s="23"/>
      <c r="N177" s="23"/>
      <c r="O177" s="23"/>
      <c r="P177" s="23"/>
      <c r="Q177" s="23"/>
      <c r="R177" s="23">
        <f>G177+K177+L177</f>
        <v>13500</v>
      </c>
      <c r="S177" s="25">
        <f t="shared" ref="S177:S178" si="77">R177*10</f>
        <v>135000</v>
      </c>
      <c r="T177" s="53"/>
    </row>
    <row r="178" spans="1:20" s="38" customFormat="1" x14ac:dyDescent="0.25">
      <c r="A178" s="20" t="s">
        <v>264</v>
      </c>
      <c r="B178" s="21" t="s">
        <v>134</v>
      </c>
      <c r="C178" s="22">
        <v>1</v>
      </c>
      <c r="D178" s="22">
        <v>3</v>
      </c>
      <c r="E178" s="23">
        <v>3770</v>
      </c>
      <c r="F178" s="22"/>
      <c r="G178" s="23">
        <f t="shared" si="76"/>
        <v>3770</v>
      </c>
      <c r="H178" s="23"/>
      <c r="I178" s="23">
        <f>G178*0.1</f>
        <v>377</v>
      </c>
      <c r="J178" s="23"/>
      <c r="K178" s="23"/>
      <c r="L178" s="23"/>
      <c r="M178" s="23"/>
      <c r="N178" s="23"/>
      <c r="O178" s="23"/>
      <c r="P178" s="23">
        <f>8000-G178</f>
        <v>4230</v>
      </c>
      <c r="Q178" s="23"/>
      <c r="R178" s="23">
        <f>G178+I178+P178</f>
        <v>8377</v>
      </c>
      <c r="S178" s="25">
        <f t="shared" si="77"/>
        <v>83770</v>
      </c>
    </row>
    <row r="179" spans="1:20" s="49" customFormat="1" ht="21" customHeight="1" thickBot="1" x14ac:dyDescent="0.3">
      <c r="A179" s="64"/>
      <c r="B179" s="47" t="s">
        <v>59</v>
      </c>
      <c r="C179" s="34">
        <f>SUM(C176:C178)</f>
        <v>3</v>
      </c>
      <c r="D179" s="34"/>
      <c r="E179" s="35">
        <f>SUM(E176:E178)</f>
        <v>17317</v>
      </c>
      <c r="F179" s="34">
        <f>SUM(F176:F178)</f>
        <v>773.2</v>
      </c>
      <c r="G179" s="35">
        <f t="shared" si="76"/>
        <v>18090.2</v>
      </c>
      <c r="H179" s="35"/>
      <c r="I179" s="35">
        <f>SUM(I178)</f>
        <v>377</v>
      </c>
      <c r="J179" s="35"/>
      <c r="K179" s="35">
        <f>K177</f>
        <v>1744.5</v>
      </c>
      <c r="L179" s="35">
        <f>L176+L177</f>
        <v>17435.3</v>
      </c>
      <c r="M179" s="35">
        <f>M176</f>
        <v>0</v>
      </c>
      <c r="N179" s="35"/>
      <c r="O179" s="35"/>
      <c r="P179" s="35">
        <f>SUM(P178)</f>
        <v>4230</v>
      </c>
      <c r="Q179" s="35"/>
      <c r="R179" s="35">
        <f>SUM(R176:R178)</f>
        <v>41877</v>
      </c>
      <c r="S179" s="36">
        <f>SUM(S176:S178)</f>
        <v>418770</v>
      </c>
    </row>
    <row r="180" spans="1:20" ht="15" customHeight="1" x14ac:dyDescent="0.25">
      <c r="A180" s="15"/>
      <c r="B180" s="55" t="s">
        <v>312</v>
      </c>
      <c r="C180" s="85"/>
      <c r="D180" s="85"/>
      <c r="E180" s="94"/>
      <c r="F180" s="85"/>
      <c r="G180" s="94"/>
      <c r="H180" s="94"/>
      <c r="I180" s="94"/>
      <c r="J180" s="94"/>
      <c r="K180" s="94"/>
      <c r="L180" s="94"/>
      <c r="M180" s="94"/>
      <c r="N180" s="94"/>
      <c r="O180" s="94"/>
      <c r="P180" s="94"/>
      <c r="Q180" s="94"/>
      <c r="R180" s="94"/>
      <c r="S180" s="110"/>
    </row>
    <row r="181" spans="1:20" ht="19.8" customHeight="1" x14ac:dyDescent="0.25">
      <c r="A181" s="20"/>
      <c r="B181" s="44" t="s">
        <v>263</v>
      </c>
      <c r="C181" s="22"/>
      <c r="D181" s="22"/>
      <c r="E181" s="23"/>
      <c r="F181" s="22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5"/>
    </row>
    <row r="182" spans="1:20" x14ac:dyDescent="0.25">
      <c r="A182" s="20" t="s">
        <v>264</v>
      </c>
      <c r="B182" s="21" t="s">
        <v>220</v>
      </c>
      <c r="C182" s="22">
        <v>0.5</v>
      </c>
      <c r="D182" s="22">
        <v>10</v>
      </c>
      <c r="E182" s="23">
        <v>2907.5</v>
      </c>
      <c r="F182" s="22"/>
      <c r="G182" s="23">
        <f t="shared" ref="G182:G185" si="78">E182+F182</f>
        <v>2907.5</v>
      </c>
      <c r="H182" s="23"/>
      <c r="I182" s="23"/>
      <c r="J182" s="23"/>
      <c r="K182" s="23">
        <f>G182*0.3</f>
        <v>872.25</v>
      </c>
      <c r="L182" s="23">
        <f>R182-K182-G182</f>
        <v>2970.25</v>
      </c>
      <c r="M182" s="23"/>
      <c r="N182" s="23"/>
      <c r="O182" s="23"/>
      <c r="P182" s="23"/>
      <c r="Q182" s="23"/>
      <c r="R182" s="23">
        <v>6750</v>
      </c>
      <c r="S182" s="25">
        <f>R182*10</f>
        <v>67500</v>
      </c>
    </row>
    <row r="183" spans="1:20" x14ac:dyDescent="0.25">
      <c r="A183" s="20" t="s">
        <v>265</v>
      </c>
      <c r="B183" s="21" t="s">
        <v>134</v>
      </c>
      <c r="C183" s="22">
        <v>0.25</v>
      </c>
      <c r="D183" s="22">
        <v>3</v>
      </c>
      <c r="E183" s="23">
        <v>942.5</v>
      </c>
      <c r="F183" s="22"/>
      <c r="G183" s="23">
        <f t="shared" si="78"/>
        <v>942.5</v>
      </c>
      <c r="H183" s="23"/>
      <c r="I183" s="23">
        <f>G183*0.1</f>
        <v>94.25</v>
      </c>
      <c r="J183" s="23"/>
      <c r="K183" s="23"/>
      <c r="L183" s="23"/>
      <c r="M183" s="23"/>
      <c r="N183" s="23"/>
      <c r="O183" s="23"/>
      <c r="P183" s="23">
        <f>8000*0.25-G183</f>
        <v>1057.5</v>
      </c>
      <c r="Q183" s="23"/>
      <c r="R183" s="23">
        <f>E183+I183+P183</f>
        <v>2094.25</v>
      </c>
      <c r="S183" s="25">
        <f t="shared" ref="S183" si="79">R183*10</f>
        <v>20942.5</v>
      </c>
    </row>
    <row r="184" spans="1:20" s="38" customFormat="1" x14ac:dyDescent="0.25">
      <c r="A184" s="20" t="s">
        <v>266</v>
      </c>
      <c r="B184" s="21" t="s">
        <v>267</v>
      </c>
      <c r="C184" s="22">
        <v>0.25</v>
      </c>
      <c r="D184" s="22">
        <v>1</v>
      </c>
      <c r="E184" s="23">
        <v>798.75</v>
      </c>
      <c r="F184" s="22"/>
      <c r="G184" s="23">
        <f t="shared" si="78"/>
        <v>798.75</v>
      </c>
      <c r="H184" s="23"/>
      <c r="I184" s="23"/>
      <c r="J184" s="23"/>
      <c r="K184" s="23"/>
      <c r="L184" s="23"/>
      <c r="M184" s="23"/>
      <c r="N184" s="23"/>
      <c r="O184" s="23"/>
      <c r="P184" s="23">
        <f>8000*0.25-G184</f>
        <v>1201.25</v>
      </c>
      <c r="Q184" s="23"/>
      <c r="R184" s="23">
        <f>E184+P184</f>
        <v>2000</v>
      </c>
      <c r="S184" s="25">
        <f>R184*4</f>
        <v>8000</v>
      </c>
    </row>
    <row r="185" spans="1:20" s="27" customFormat="1" ht="15" customHeight="1" thickBot="1" x14ac:dyDescent="0.3">
      <c r="A185" s="112"/>
      <c r="B185" s="113" t="s">
        <v>59</v>
      </c>
      <c r="C185" s="114">
        <f>C182+C183+C184</f>
        <v>1</v>
      </c>
      <c r="D185" s="114"/>
      <c r="E185" s="115">
        <f>E182+E183+E184</f>
        <v>4648.75</v>
      </c>
      <c r="F185" s="114"/>
      <c r="G185" s="115">
        <f t="shared" si="78"/>
        <v>4648.75</v>
      </c>
      <c r="H185" s="115"/>
      <c r="I185" s="115">
        <f>SUM(I183)</f>
        <v>94.25</v>
      </c>
      <c r="J185" s="115"/>
      <c r="K185" s="115">
        <f>SUM(K182:K183)</f>
        <v>872.25</v>
      </c>
      <c r="L185" s="115">
        <f>SUM(L182:L183)</f>
        <v>2970.25</v>
      </c>
      <c r="M185" s="115"/>
      <c r="N185" s="115"/>
      <c r="O185" s="115"/>
      <c r="P185" s="115">
        <f>P183+P184</f>
        <v>2258.75</v>
      </c>
      <c r="Q185" s="115"/>
      <c r="R185" s="115">
        <f>SUM(R182:R184)</f>
        <v>10844.25</v>
      </c>
      <c r="S185" s="116">
        <f>SUM(S182:S184)</f>
        <v>96442.5</v>
      </c>
    </row>
    <row r="186" spans="1:20" s="13" customFormat="1" ht="20.399999999999999" customHeight="1" x14ac:dyDescent="0.2">
      <c r="A186" s="18"/>
      <c r="B186" s="55" t="s">
        <v>268</v>
      </c>
      <c r="C186" s="85"/>
      <c r="D186" s="85"/>
      <c r="E186" s="94"/>
      <c r="F186" s="85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110"/>
    </row>
    <row r="187" spans="1:20" x14ac:dyDescent="0.25">
      <c r="A187" s="20" t="s">
        <v>269</v>
      </c>
      <c r="B187" s="21" t="s">
        <v>220</v>
      </c>
      <c r="C187" s="22">
        <v>0.5</v>
      </c>
      <c r="D187" s="22">
        <v>9</v>
      </c>
      <c r="E187" s="23">
        <v>2763.5</v>
      </c>
      <c r="F187" s="22"/>
      <c r="G187" s="23">
        <f t="shared" ref="G187:G190" si="80">E187+F187</f>
        <v>2763.5</v>
      </c>
      <c r="H187" s="23"/>
      <c r="I187" s="23"/>
      <c r="J187" s="23"/>
      <c r="K187" s="23">
        <f>G187*0.3</f>
        <v>829.05</v>
      </c>
      <c r="L187" s="23">
        <f>6750-G187-K187</f>
        <v>3157.45</v>
      </c>
      <c r="M187" s="23"/>
      <c r="N187" s="23"/>
      <c r="O187" s="23"/>
      <c r="P187" s="23"/>
      <c r="Q187" s="23"/>
      <c r="R187" s="23">
        <f>G187+K187+L187</f>
        <v>6750</v>
      </c>
      <c r="S187" s="25">
        <f>R187*10</f>
        <v>67500</v>
      </c>
    </row>
    <row r="188" spans="1:20" x14ac:dyDescent="0.25">
      <c r="A188" s="20" t="s">
        <v>270</v>
      </c>
      <c r="B188" s="21" t="s">
        <v>134</v>
      </c>
      <c r="C188" s="22">
        <v>0.25</v>
      </c>
      <c r="D188" s="22">
        <v>3</v>
      </c>
      <c r="E188" s="23">
        <v>942.5</v>
      </c>
      <c r="F188" s="22"/>
      <c r="G188" s="23">
        <f t="shared" si="80"/>
        <v>942.5</v>
      </c>
      <c r="H188" s="23"/>
      <c r="I188" s="23">
        <f>G188*0.1</f>
        <v>94.25</v>
      </c>
      <c r="J188" s="23"/>
      <c r="K188" s="23"/>
      <c r="L188" s="23"/>
      <c r="M188" s="23"/>
      <c r="N188" s="23"/>
      <c r="O188" s="23"/>
      <c r="P188" s="23">
        <f>8000*0.25-G188</f>
        <v>1057.5</v>
      </c>
      <c r="Q188" s="23"/>
      <c r="R188" s="23">
        <f>E188+I188+P188</f>
        <v>2094.25</v>
      </c>
      <c r="S188" s="25">
        <f>R188*10</f>
        <v>20942.5</v>
      </c>
    </row>
    <row r="189" spans="1:20" s="38" customFormat="1" x14ac:dyDescent="0.25">
      <c r="A189" s="20" t="s">
        <v>271</v>
      </c>
      <c r="B189" s="21" t="s">
        <v>227</v>
      </c>
      <c r="C189" s="22">
        <v>0.5</v>
      </c>
      <c r="D189" s="22">
        <v>1</v>
      </c>
      <c r="E189" s="23">
        <v>1597.5</v>
      </c>
      <c r="F189" s="22"/>
      <c r="G189" s="23">
        <f t="shared" si="80"/>
        <v>1597.5</v>
      </c>
      <c r="H189" s="23"/>
      <c r="I189" s="23"/>
      <c r="J189" s="23"/>
      <c r="K189" s="23"/>
      <c r="L189" s="23"/>
      <c r="M189" s="23"/>
      <c r="N189" s="23"/>
      <c r="O189" s="23"/>
      <c r="P189" s="23">
        <f>8000/2-G189</f>
        <v>2402.5</v>
      </c>
      <c r="Q189" s="23"/>
      <c r="R189" s="23">
        <f>E189+P189</f>
        <v>4000</v>
      </c>
      <c r="S189" s="25">
        <f>R189*4</f>
        <v>16000</v>
      </c>
    </row>
    <row r="190" spans="1:20" s="27" customFormat="1" ht="18.75" customHeight="1" thickBot="1" x14ac:dyDescent="0.3">
      <c r="A190" s="64"/>
      <c r="B190" s="47" t="s">
        <v>59</v>
      </c>
      <c r="C190" s="34">
        <f>C187+C188+C189</f>
        <v>1.25</v>
      </c>
      <c r="D190" s="34"/>
      <c r="E190" s="35">
        <f>E187+E188+E189</f>
        <v>5303.5</v>
      </c>
      <c r="F190" s="34"/>
      <c r="G190" s="35">
        <f t="shared" si="80"/>
        <v>5303.5</v>
      </c>
      <c r="H190" s="35"/>
      <c r="I190" s="35">
        <f>SUM(I187:I188)</f>
        <v>94.25</v>
      </c>
      <c r="J190" s="35"/>
      <c r="K190" s="35">
        <f>SUM(K187:K189)</f>
        <v>829.05</v>
      </c>
      <c r="L190" s="35">
        <f>SUM(L186:L188)</f>
        <v>3157.45</v>
      </c>
      <c r="M190" s="35"/>
      <c r="N190" s="35"/>
      <c r="O190" s="35"/>
      <c r="P190" s="35">
        <f>P188+P189</f>
        <v>3460</v>
      </c>
      <c r="Q190" s="35"/>
      <c r="R190" s="35">
        <f>SUM(R187:R189)</f>
        <v>12844.25</v>
      </c>
      <c r="S190" s="36">
        <f>SUM(S187:S189)</f>
        <v>104442.5</v>
      </c>
    </row>
    <row r="191" spans="1:20" ht="22.8" customHeight="1" x14ac:dyDescent="0.25">
      <c r="A191" s="57"/>
      <c r="B191" s="111" t="s">
        <v>272</v>
      </c>
      <c r="C191" s="91"/>
      <c r="D191" s="91"/>
      <c r="E191" s="51"/>
      <c r="F191" s="9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97"/>
      <c r="T191" s="65"/>
    </row>
    <row r="192" spans="1:20" x14ac:dyDescent="0.25">
      <c r="A192" s="20" t="s">
        <v>273</v>
      </c>
      <c r="B192" s="21" t="s">
        <v>130</v>
      </c>
      <c r="C192" s="22">
        <v>1</v>
      </c>
      <c r="D192" s="22">
        <v>10</v>
      </c>
      <c r="E192" s="23">
        <v>5815</v>
      </c>
      <c r="F192" s="22"/>
      <c r="G192" s="23">
        <f t="shared" ref="G192:G195" si="81">E192+F192</f>
        <v>5815</v>
      </c>
      <c r="H192" s="23"/>
      <c r="I192" s="23"/>
      <c r="J192" s="23"/>
      <c r="K192" s="23">
        <f>G192*0.3</f>
        <v>1744.5</v>
      </c>
      <c r="L192" s="23">
        <f>13500-G192-K192</f>
        <v>5940.5</v>
      </c>
      <c r="M192" s="23"/>
      <c r="N192" s="23"/>
      <c r="O192" s="23"/>
      <c r="P192" s="23"/>
      <c r="Q192" s="23"/>
      <c r="R192" s="23">
        <f>G192+K192+L192</f>
        <v>13500</v>
      </c>
      <c r="S192" s="25">
        <f>R192*10</f>
        <v>135000</v>
      </c>
    </row>
    <row r="193" spans="1:19" x14ac:dyDescent="0.25">
      <c r="A193" s="20" t="s">
        <v>274</v>
      </c>
      <c r="B193" s="21" t="s">
        <v>134</v>
      </c>
      <c r="C193" s="22">
        <v>0.25</v>
      </c>
      <c r="D193" s="22">
        <v>3</v>
      </c>
      <c r="E193" s="23">
        <v>942.5</v>
      </c>
      <c r="F193" s="22"/>
      <c r="G193" s="23">
        <f t="shared" si="81"/>
        <v>942.5</v>
      </c>
      <c r="H193" s="23"/>
      <c r="I193" s="23">
        <f>G193*0.1</f>
        <v>94.25</v>
      </c>
      <c r="J193" s="23"/>
      <c r="K193" s="23"/>
      <c r="L193" s="23"/>
      <c r="M193" s="23"/>
      <c r="N193" s="23"/>
      <c r="O193" s="23"/>
      <c r="P193" s="23">
        <f>8000*0.25-G193</f>
        <v>1057.5</v>
      </c>
      <c r="Q193" s="23"/>
      <c r="R193" s="23">
        <f>E193+I193+P193</f>
        <v>2094.25</v>
      </c>
      <c r="S193" s="25">
        <f>R193*10</f>
        <v>20942.5</v>
      </c>
    </row>
    <row r="194" spans="1:19" s="38" customFormat="1" x14ac:dyDescent="0.25">
      <c r="A194" s="20" t="s">
        <v>275</v>
      </c>
      <c r="B194" s="21" t="s">
        <v>267</v>
      </c>
      <c r="C194" s="22">
        <v>0.25</v>
      </c>
      <c r="D194" s="22">
        <v>1</v>
      </c>
      <c r="E194" s="23">
        <v>798.75</v>
      </c>
      <c r="F194" s="22"/>
      <c r="G194" s="23">
        <f t="shared" si="81"/>
        <v>798.75</v>
      </c>
      <c r="H194" s="23"/>
      <c r="I194" s="23"/>
      <c r="J194" s="23"/>
      <c r="K194" s="23"/>
      <c r="L194" s="23"/>
      <c r="M194" s="23"/>
      <c r="N194" s="23"/>
      <c r="O194" s="23"/>
      <c r="P194" s="23">
        <f>8000*0.25-G194</f>
        <v>1201.25</v>
      </c>
      <c r="Q194" s="23"/>
      <c r="R194" s="23">
        <f>E194+P194</f>
        <v>2000</v>
      </c>
      <c r="S194" s="25">
        <f>R194*4</f>
        <v>8000</v>
      </c>
    </row>
    <row r="195" spans="1:19" s="27" customFormat="1" ht="13.8" thickBot="1" x14ac:dyDescent="0.3">
      <c r="A195" s="64"/>
      <c r="B195" s="47" t="s">
        <v>59</v>
      </c>
      <c r="C195" s="34">
        <f>SUM(C192:C194)</f>
        <v>1.5</v>
      </c>
      <c r="D195" s="34"/>
      <c r="E195" s="35">
        <f>SUM(E192:E194)</f>
        <v>7556.25</v>
      </c>
      <c r="F195" s="34">
        <f>SUM(F192:F194)</f>
        <v>0</v>
      </c>
      <c r="G195" s="35">
        <f t="shared" si="81"/>
        <v>7556.25</v>
      </c>
      <c r="H195" s="35"/>
      <c r="I195" s="35">
        <f>SUM(I193:I194)</f>
        <v>94.25</v>
      </c>
      <c r="J195" s="35"/>
      <c r="K195" s="35">
        <f>SUM(K192:K194)</f>
        <v>1744.5</v>
      </c>
      <c r="L195" s="35">
        <f>SUM(L192:L194)</f>
        <v>5940.5</v>
      </c>
      <c r="M195" s="35"/>
      <c r="N195" s="35"/>
      <c r="O195" s="35"/>
      <c r="P195" s="35">
        <f>P193+P194</f>
        <v>2258.75</v>
      </c>
      <c r="Q195" s="35"/>
      <c r="R195" s="35">
        <f>SUM(R192:R194)</f>
        <v>17594.25</v>
      </c>
      <c r="S195" s="36">
        <f>SUM(S192:S194)</f>
        <v>163942.5</v>
      </c>
    </row>
    <row r="196" spans="1:19" ht="22.2" customHeight="1" x14ac:dyDescent="0.25">
      <c r="A196" s="15"/>
      <c r="B196" s="55" t="s">
        <v>276</v>
      </c>
      <c r="C196" s="85"/>
      <c r="D196" s="85"/>
      <c r="E196" s="94"/>
      <c r="F196" s="85"/>
      <c r="G196" s="94"/>
      <c r="H196" s="94"/>
      <c r="I196" s="94"/>
      <c r="J196" s="94"/>
      <c r="K196" s="94"/>
      <c r="L196" s="94"/>
      <c r="M196" s="94"/>
      <c r="N196" s="94"/>
      <c r="O196" s="94"/>
      <c r="P196" s="94"/>
      <c r="Q196" s="94"/>
      <c r="R196" s="94"/>
      <c r="S196" s="110"/>
    </row>
    <row r="197" spans="1:19" x14ac:dyDescent="0.25">
      <c r="A197" s="20" t="s">
        <v>277</v>
      </c>
      <c r="B197" s="21" t="s">
        <v>220</v>
      </c>
      <c r="C197" s="22">
        <v>1</v>
      </c>
      <c r="D197" s="22">
        <v>10</v>
      </c>
      <c r="E197" s="23">
        <v>5815</v>
      </c>
      <c r="F197" s="22"/>
      <c r="G197" s="23">
        <f t="shared" ref="G197:G200" si="82">E197+F197</f>
        <v>5815</v>
      </c>
      <c r="H197" s="23"/>
      <c r="I197" s="23"/>
      <c r="J197" s="23"/>
      <c r="K197" s="23">
        <f>G197*0.3</f>
        <v>1744.5</v>
      </c>
      <c r="L197" s="23">
        <f>13500-G197-K197</f>
        <v>5940.5</v>
      </c>
      <c r="M197" s="23"/>
      <c r="N197" s="23"/>
      <c r="O197" s="23"/>
      <c r="P197" s="23"/>
      <c r="Q197" s="23"/>
      <c r="R197" s="23">
        <f>G197+K197+L197</f>
        <v>13500</v>
      </c>
      <c r="S197" s="25">
        <f>R197*10</f>
        <v>135000</v>
      </c>
    </row>
    <row r="198" spans="1:19" x14ac:dyDescent="0.25">
      <c r="A198" s="20" t="s">
        <v>278</v>
      </c>
      <c r="B198" s="21" t="s">
        <v>134</v>
      </c>
      <c r="C198" s="22">
        <v>0.25</v>
      </c>
      <c r="D198" s="22">
        <v>3</v>
      </c>
      <c r="E198" s="23">
        <v>942.5</v>
      </c>
      <c r="F198" s="22"/>
      <c r="G198" s="23">
        <f t="shared" si="82"/>
        <v>942.5</v>
      </c>
      <c r="H198" s="23"/>
      <c r="I198" s="23">
        <f>G198*0.1</f>
        <v>94.25</v>
      </c>
      <c r="J198" s="23"/>
      <c r="K198" s="23"/>
      <c r="L198" s="23"/>
      <c r="M198" s="23"/>
      <c r="N198" s="23"/>
      <c r="O198" s="23"/>
      <c r="P198" s="23">
        <f>8000*0.25-G198</f>
        <v>1057.5</v>
      </c>
      <c r="Q198" s="23"/>
      <c r="R198" s="23">
        <f>E198+I198+P198</f>
        <v>2094.25</v>
      </c>
      <c r="S198" s="25">
        <f>R198*10</f>
        <v>20942.5</v>
      </c>
    </row>
    <row r="199" spans="1:19" s="38" customFormat="1" x14ac:dyDescent="0.25">
      <c r="A199" s="20" t="s">
        <v>279</v>
      </c>
      <c r="B199" s="21" t="s">
        <v>267</v>
      </c>
      <c r="C199" s="22">
        <v>0.25</v>
      </c>
      <c r="D199" s="22">
        <v>1</v>
      </c>
      <c r="E199" s="23">
        <v>798.75</v>
      </c>
      <c r="F199" s="22"/>
      <c r="G199" s="23">
        <f t="shared" si="82"/>
        <v>798.75</v>
      </c>
      <c r="H199" s="23"/>
      <c r="I199" s="23"/>
      <c r="J199" s="23"/>
      <c r="K199" s="23"/>
      <c r="L199" s="23"/>
      <c r="M199" s="23"/>
      <c r="N199" s="23"/>
      <c r="O199" s="23"/>
      <c r="P199" s="23">
        <f>8000*0.25-G199</f>
        <v>1201.25</v>
      </c>
      <c r="Q199" s="23"/>
      <c r="R199" s="23">
        <f>E199+P199</f>
        <v>2000</v>
      </c>
      <c r="S199" s="25">
        <f>R199*4</f>
        <v>8000</v>
      </c>
    </row>
    <row r="200" spans="1:19" s="27" customFormat="1" ht="13.8" thickBot="1" x14ac:dyDescent="0.3">
      <c r="A200" s="64"/>
      <c r="B200" s="47" t="s">
        <v>59</v>
      </c>
      <c r="C200" s="34">
        <f>SUM(C197:C199)</f>
        <v>1.5</v>
      </c>
      <c r="D200" s="34"/>
      <c r="E200" s="35">
        <f>SUM(E197:E199)</f>
        <v>7556.25</v>
      </c>
      <c r="F200" s="34">
        <f>SUM(F197:F199)</f>
        <v>0</v>
      </c>
      <c r="G200" s="35">
        <f t="shared" si="82"/>
        <v>7556.25</v>
      </c>
      <c r="H200" s="35"/>
      <c r="I200" s="35">
        <f>SUM(I198:I199)</f>
        <v>94.25</v>
      </c>
      <c r="J200" s="35"/>
      <c r="K200" s="35">
        <f>K197</f>
        <v>1744.5</v>
      </c>
      <c r="L200" s="35">
        <f>SUM(L197:L199)</f>
        <v>5940.5</v>
      </c>
      <c r="M200" s="35"/>
      <c r="N200" s="35"/>
      <c r="O200" s="35"/>
      <c r="P200" s="35">
        <f>P198+P199</f>
        <v>2258.75</v>
      </c>
      <c r="Q200" s="35"/>
      <c r="R200" s="35">
        <f>SUM(R197:R199)</f>
        <v>17594.25</v>
      </c>
      <c r="S200" s="36">
        <f>SUM(S197:S199)</f>
        <v>163942.5</v>
      </c>
    </row>
    <row r="201" spans="1:19" ht="24" customHeight="1" x14ac:dyDescent="0.25">
      <c r="A201" s="15"/>
      <c r="B201" s="55" t="s">
        <v>280</v>
      </c>
      <c r="C201" s="85"/>
      <c r="D201" s="85"/>
      <c r="E201" s="94"/>
      <c r="F201" s="85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110"/>
    </row>
    <row r="202" spans="1:19" x14ac:dyDescent="0.25">
      <c r="A202" s="20" t="s">
        <v>281</v>
      </c>
      <c r="B202" s="21" t="s">
        <v>130</v>
      </c>
      <c r="C202" s="22">
        <v>0.5</v>
      </c>
      <c r="D202" s="22">
        <v>8</v>
      </c>
      <c r="E202" s="23">
        <v>2620</v>
      </c>
      <c r="F202" s="22"/>
      <c r="G202" s="23">
        <f t="shared" ref="G202:G204" si="83">E202+F202</f>
        <v>2620</v>
      </c>
      <c r="H202" s="23"/>
      <c r="I202" s="23"/>
      <c r="J202" s="23"/>
      <c r="K202" s="23">
        <f>G202*0.3</f>
        <v>786</v>
      </c>
      <c r="L202" s="23">
        <f>R202-K202-G202</f>
        <v>3344</v>
      </c>
      <c r="M202" s="23"/>
      <c r="N202" s="23"/>
      <c r="O202" s="23"/>
      <c r="P202" s="23"/>
      <c r="Q202" s="23"/>
      <c r="R202" s="23">
        <v>6750</v>
      </c>
      <c r="S202" s="25">
        <f>R202*10</f>
        <v>67500</v>
      </c>
    </row>
    <row r="203" spans="1:19" s="38" customFormat="1" x14ac:dyDescent="0.25">
      <c r="A203" s="20" t="s">
        <v>282</v>
      </c>
      <c r="B203" s="21" t="s">
        <v>134</v>
      </c>
      <c r="C203" s="22">
        <v>0.5</v>
      </c>
      <c r="D203" s="22">
        <v>3</v>
      </c>
      <c r="E203" s="23">
        <v>1885</v>
      </c>
      <c r="F203" s="22"/>
      <c r="G203" s="23">
        <f t="shared" si="83"/>
        <v>1885</v>
      </c>
      <c r="H203" s="23"/>
      <c r="I203" s="23">
        <f>G203*0.1</f>
        <v>188.5</v>
      </c>
      <c r="J203" s="23"/>
      <c r="K203" s="23"/>
      <c r="L203" s="23"/>
      <c r="M203" s="23"/>
      <c r="N203" s="23"/>
      <c r="O203" s="23"/>
      <c r="P203" s="23">
        <f>8000/2-G203</f>
        <v>2115</v>
      </c>
      <c r="Q203" s="23"/>
      <c r="R203" s="23">
        <f>SUM(G203:Q203)</f>
        <v>4188.5</v>
      </c>
      <c r="S203" s="25">
        <f>R203*10</f>
        <v>41885</v>
      </c>
    </row>
    <row r="204" spans="1:19" s="27" customFormat="1" ht="13.8" thickBot="1" x14ac:dyDescent="0.3">
      <c r="A204" s="64"/>
      <c r="B204" s="47" t="s">
        <v>59</v>
      </c>
      <c r="C204" s="34">
        <f>SUM(C202:C203)</f>
        <v>1</v>
      </c>
      <c r="D204" s="34"/>
      <c r="E204" s="35">
        <f>SUM(E202:E203)</f>
        <v>4505</v>
      </c>
      <c r="F204" s="34">
        <f>SUM(F202:F203)</f>
        <v>0</v>
      </c>
      <c r="G204" s="35">
        <f t="shared" si="83"/>
        <v>4505</v>
      </c>
      <c r="H204" s="35"/>
      <c r="I204" s="35">
        <f>SUM(I203)</f>
        <v>188.5</v>
      </c>
      <c r="J204" s="35"/>
      <c r="K204" s="35">
        <f>SUM(K202:K203)</f>
        <v>786</v>
      </c>
      <c r="L204" s="35">
        <f>SUM(L202:L203)</f>
        <v>3344</v>
      </c>
      <c r="M204" s="35"/>
      <c r="N204" s="35"/>
      <c r="O204" s="35"/>
      <c r="P204" s="35">
        <f>SUM(P203)</f>
        <v>2115</v>
      </c>
      <c r="Q204" s="35"/>
      <c r="R204" s="35">
        <f>SUM(R202:R203)</f>
        <v>10938.5</v>
      </c>
      <c r="S204" s="36">
        <f>SUM(S202:S203)</f>
        <v>109385</v>
      </c>
    </row>
    <row r="205" spans="1:19" ht="18" customHeight="1" x14ac:dyDescent="0.25">
      <c r="A205" s="15"/>
      <c r="B205" s="55" t="s">
        <v>283</v>
      </c>
      <c r="C205" s="85"/>
      <c r="D205" s="85"/>
      <c r="E205" s="94"/>
      <c r="F205" s="85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110"/>
    </row>
    <row r="206" spans="1:19" s="13" customFormat="1" x14ac:dyDescent="0.25">
      <c r="A206" s="20" t="s">
        <v>284</v>
      </c>
      <c r="B206" s="66" t="s">
        <v>130</v>
      </c>
      <c r="C206" s="22">
        <v>0.5</v>
      </c>
      <c r="D206" s="22">
        <v>10</v>
      </c>
      <c r="E206" s="23">
        <v>2907.5</v>
      </c>
      <c r="F206" s="22"/>
      <c r="G206" s="23">
        <f t="shared" ref="G206:G209" si="84">E206+F206</f>
        <v>2907.5</v>
      </c>
      <c r="H206" s="23"/>
      <c r="I206" s="23"/>
      <c r="J206" s="23"/>
      <c r="K206" s="23">
        <f>G206*0.3</f>
        <v>872.25</v>
      </c>
      <c r="L206" s="23">
        <f>13500/2-G206-K206</f>
        <v>2970.25</v>
      </c>
      <c r="M206" s="23"/>
      <c r="N206" s="23"/>
      <c r="O206" s="23"/>
      <c r="P206" s="23"/>
      <c r="Q206" s="23"/>
      <c r="R206" s="23">
        <f>G206+K206+L206</f>
        <v>6750</v>
      </c>
      <c r="S206" s="25">
        <f>R206*10</f>
        <v>67500</v>
      </c>
    </row>
    <row r="207" spans="1:19" x14ac:dyDescent="0.25">
      <c r="A207" s="20" t="s">
        <v>285</v>
      </c>
      <c r="B207" s="21" t="s">
        <v>134</v>
      </c>
      <c r="C207" s="22">
        <v>0.5</v>
      </c>
      <c r="D207" s="22">
        <v>3</v>
      </c>
      <c r="E207" s="23">
        <v>1885</v>
      </c>
      <c r="F207" s="22"/>
      <c r="G207" s="23">
        <f t="shared" si="84"/>
        <v>1885</v>
      </c>
      <c r="H207" s="23"/>
      <c r="I207" s="23">
        <f>G207*0.1</f>
        <v>188.5</v>
      </c>
      <c r="J207" s="23"/>
      <c r="K207" s="23"/>
      <c r="L207" s="23"/>
      <c r="M207" s="23"/>
      <c r="N207" s="23"/>
      <c r="O207" s="23"/>
      <c r="P207" s="23">
        <f>8000/2-G207</f>
        <v>2115</v>
      </c>
      <c r="Q207" s="23"/>
      <c r="R207" s="23">
        <f>SUM(G207:Q207)</f>
        <v>4188.5</v>
      </c>
      <c r="S207" s="25">
        <f>R207*10</f>
        <v>41885</v>
      </c>
    </row>
    <row r="208" spans="1:19" x14ac:dyDescent="0.25">
      <c r="A208" s="20" t="s">
        <v>286</v>
      </c>
      <c r="B208" s="21" t="s">
        <v>227</v>
      </c>
      <c r="C208" s="22">
        <v>1</v>
      </c>
      <c r="D208" s="22">
        <v>1</v>
      </c>
      <c r="E208" s="23">
        <v>3195</v>
      </c>
      <c r="F208" s="22"/>
      <c r="G208" s="23">
        <f t="shared" si="84"/>
        <v>3195</v>
      </c>
      <c r="H208" s="23"/>
      <c r="I208" s="23"/>
      <c r="J208" s="23"/>
      <c r="K208" s="23"/>
      <c r="L208" s="23"/>
      <c r="M208" s="23"/>
      <c r="N208" s="23"/>
      <c r="O208" s="23"/>
      <c r="P208" s="23">
        <f>8000-G208</f>
        <v>4805</v>
      </c>
      <c r="Q208" s="23"/>
      <c r="R208" s="23">
        <f>E208+P208</f>
        <v>8000</v>
      </c>
      <c r="S208" s="25">
        <f>R208*4</f>
        <v>32000</v>
      </c>
    </row>
    <row r="209" spans="1:20" s="49" customFormat="1" ht="16.8" customHeight="1" thickBot="1" x14ac:dyDescent="0.3">
      <c r="A209" s="118"/>
      <c r="B209" s="47" t="s">
        <v>59</v>
      </c>
      <c r="C209" s="34">
        <f>SUM(C206:C208)</f>
        <v>2</v>
      </c>
      <c r="D209" s="34"/>
      <c r="E209" s="35">
        <f>SUM(E206:E208)</f>
        <v>7987.5</v>
      </c>
      <c r="F209" s="34">
        <f>SUM(F206:F208)</f>
        <v>0</v>
      </c>
      <c r="G209" s="35">
        <f t="shared" si="84"/>
        <v>7987.5</v>
      </c>
      <c r="H209" s="35"/>
      <c r="I209" s="35">
        <f>SUM(I207:I208)</f>
        <v>188.5</v>
      </c>
      <c r="J209" s="35"/>
      <c r="K209" s="35">
        <f>SUM(K206:K208)</f>
        <v>872.25</v>
      </c>
      <c r="L209" s="35">
        <f>SUM(L206:L208)</f>
        <v>2970.25</v>
      </c>
      <c r="M209" s="35"/>
      <c r="N209" s="35"/>
      <c r="O209" s="35"/>
      <c r="P209" s="35">
        <f>P207+P208</f>
        <v>6920</v>
      </c>
      <c r="Q209" s="35"/>
      <c r="R209" s="35">
        <f>SUM(R206:R208)</f>
        <v>18938.5</v>
      </c>
      <c r="S209" s="36">
        <f>SUM(S206:S208)</f>
        <v>141385</v>
      </c>
    </row>
    <row r="210" spans="1:20" ht="21" customHeight="1" x14ac:dyDescent="0.25">
      <c r="A210" s="15"/>
      <c r="B210" s="55" t="s">
        <v>287</v>
      </c>
      <c r="C210" s="85"/>
      <c r="D210" s="85"/>
      <c r="E210" s="94"/>
      <c r="F210" s="85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  <c r="R210" s="94"/>
      <c r="S210" s="110"/>
    </row>
    <row r="211" spans="1:20" x14ac:dyDescent="0.25">
      <c r="A211" s="20" t="s">
        <v>288</v>
      </c>
      <c r="B211" s="21" t="s">
        <v>220</v>
      </c>
      <c r="C211" s="22">
        <v>1</v>
      </c>
      <c r="D211" s="22">
        <v>10</v>
      </c>
      <c r="E211" s="23">
        <v>5815</v>
      </c>
      <c r="F211" s="22"/>
      <c r="G211" s="23">
        <f t="shared" ref="G211:G215" si="85">E211+F211</f>
        <v>5815</v>
      </c>
      <c r="H211" s="23"/>
      <c r="I211" s="23"/>
      <c r="J211" s="23"/>
      <c r="K211" s="23">
        <f>G211*0.3</f>
        <v>1744.5</v>
      </c>
      <c r="L211" s="23">
        <f>R211-K211-G211</f>
        <v>5940.5</v>
      </c>
      <c r="M211" s="23"/>
      <c r="N211" s="23"/>
      <c r="O211" s="23"/>
      <c r="P211" s="23"/>
      <c r="Q211" s="23"/>
      <c r="R211" s="23">
        <v>13500</v>
      </c>
      <c r="S211" s="25">
        <f>R211*10</f>
        <v>135000</v>
      </c>
    </row>
    <row r="212" spans="1:20" x14ac:dyDescent="0.25">
      <c r="A212" s="20" t="s">
        <v>289</v>
      </c>
      <c r="B212" s="21" t="s">
        <v>130</v>
      </c>
      <c r="C212" s="22">
        <v>1</v>
      </c>
      <c r="D212" s="22">
        <v>7</v>
      </c>
      <c r="E212" s="23">
        <v>4920</v>
      </c>
      <c r="F212" s="22"/>
      <c r="G212" s="23">
        <f t="shared" si="85"/>
        <v>4920</v>
      </c>
      <c r="H212" s="23"/>
      <c r="I212" s="23">
        <f>G212*0.1</f>
        <v>492</v>
      </c>
      <c r="J212" s="23"/>
      <c r="K212" s="23">
        <f>G212*0.3</f>
        <v>1476</v>
      </c>
      <c r="L212" s="23">
        <f>13500-G212-I212-K212</f>
        <v>6612</v>
      </c>
      <c r="M212" s="23"/>
      <c r="N212" s="23"/>
      <c r="O212" s="23"/>
      <c r="P212" s="23"/>
      <c r="Q212" s="23"/>
      <c r="R212" s="23">
        <f>G212+I212+K212+L212</f>
        <v>13500</v>
      </c>
      <c r="S212" s="25">
        <f>R212*10</f>
        <v>135000</v>
      </c>
    </row>
    <row r="213" spans="1:20" x14ac:dyDescent="0.25">
      <c r="A213" s="20" t="s">
        <v>290</v>
      </c>
      <c r="B213" s="21" t="s">
        <v>134</v>
      </c>
      <c r="C213" s="22">
        <v>1</v>
      </c>
      <c r="D213" s="22">
        <v>3</v>
      </c>
      <c r="E213" s="23">
        <v>3770</v>
      </c>
      <c r="F213" s="22"/>
      <c r="G213" s="23">
        <f t="shared" si="85"/>
        <v>3770</v>
      </c>
      <c r="H213" s="23"/>
      <c r="I213" s="23">
        <f>G213*0.1</f>
        <v>377</v>
      </c>
      <c r="J213" s="23"/>
      <c r="K213" s="23"/>
      <c r="L213" s="23"/>
      <c r="M213" s="23"/>
      <c r="N213" s="23"/>
      <c r="O213" s="23"/>
      <c r="P213" s="23">
        <f>8000-G213</f>
        <v>4230</v>
      </c>
      <c r="Q213" s="23"/>
      <c r="R213" s="23">
        <f>SUM(G213:Q213)</f>
        <v>8377</v>
      </c>
      <c r="S213" s="25">
        <f>R213*10</f>
        <v>83770</v>
      </c>
    </row>
    <row r="214" spans="1:20" x14ac:dyDescent="0.25">
      <c r="A214" s="20" t="s">
        <v>291</v>
      </c>
      <c r="B214" s="21" t="s">
        <v>227</v>
      </c>
      <c r="C214" s="22">
        <v>1.5</v>
      </c>
      <c r="D214" s="22">
        <v>1</v>
      </c>
      <c r="E214" s="23">
        <f>3195*C214</f>
        <v>4792.5</v>
      </c>
      <c r="F214" s="22"/>
      <c r="G214" s="23">
        <f t="shared" si="85"/>
        <v>4792.5</v>
      </c>
      <c r="H214" s="23"/>
      <c r="I214" s="23"/>
      <c r="J214" s="23"/>
      <c r="K214" s="23"/>
      <c r="L214" s="23"/>
      <c r="M214" s="23"/>
      <c r="N214" s="23"/>
      <c r="O214" s="23"/>
      <c r="P214" s="23">
        <f>8000*C214-G214</f>
        <v>7207.5</v>
      </c>
      <c r="Q214" s="23"/>
      <c r="R214" s="23">
        <f>E214+P214</f>
        <v>12000</v>
      </c>
      <c r="S214" s="25">
        <f>R214*4</f>
        <v>48000</v>
      </c>
    </row>
    <row r="215" spans="1:20" s="27" customFormat="1" ht="16.5" customHeight="1" thickBot="1" x14ac:dyDescent="0.3">
      <c r="A215" s="64"/>
      <c r="B215" s="47" t="s">
        <v>59</v>
      </c>
      <c r="C215" s="34">
        <f>SUM(C211:C214)</f>
        <v>4.5</v>
      </c>
      <c r="D215" s="34"/>
      <c r="E215" s="35">
        <f>SUM(E211:E214)</f>
        <v>19297.5</v>
      </c>
      <c r="F215" s="34">
        <f>SUM(F211:F214)</f>
        <v>0</v>
      </c>
      <c r="G215" s="35">
        <f t="shared" si="85"/>
        <v>19297.5</v>
      </c>
      <c r="H215" s="35"/>
      <c r="I215" s="35">
        <f>SUM(I212:I214)</f>
        <v>869</v>
      </c>
      <c r="J215" s="35"/>
      <c r="K215" s="35">
        <f>K211+K212</f>
        <v>3220.5</v>
      </c>
      <c r="L215" s="35">
        <f>L211+L212</f>
        <v>12552.5</v>
      </c>
      <c r="M215" s="35"/>
      <c r="N215" s="35"/>
      <c r="O215" s="35"/>
      <c r="P215" s="35">
        <f>SUM(P211:P214)</f>
        <v>11437.5</v>
      </c>
      <c r="Q215" s="35"/>
      <c r="R215" s="35">
        <f>SUM(R211:R214)</f>
        <v>47377</v>
      </c>
      <c r="S215" s="36">
        <f>SUM(S211:S214)</f>
        <v>401770</v>
      </c>
    </row>
    <row r="216" spans="1:20" s="13" customFormat="1" ht="22.2" customHeight="1" x14ac:dyDescent="0.2">
      <c r="A216" s="18"/>
      <c r="B216" s="55" t="s">
        <v>292</v>
      </c>
      <c r="C216" s="85"/>
      <c r="D216" s="85"/>
      <c r="E216" s="94"/>
      <c r="F216" s="85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110"/>
    </row>
    <row r="217" spans="1:20" x14ac:dyDescent="0.25">
      <c r="A217" s="20" t="s">
        <v>293</v>
      </c>
      <c r="B217" s="21" t="s">
        <v>220</v>
      </c>
      <c r="C217" s="22">
        <v>1</v>
      </c>
      <c r="D217" s="22">
        <v>10</v>
      </c>
      <c r="E217" s="23">
        <v>5815</v>
      </c>
      <c r="F217" s="22"/>
      <c r="G217" s="23">
        <f t="shared" ref="G217:G219" si="86">E217+F217</f>
        <v>5815</v>
      </c>
      <c r="H217" s="23"/>
      <c r="I217" s="23"/>
      <c r="J217" s="23"/>
      <c r="K217" s="23">
        <f>G217*0.3</f>
        <v>1744.5</v>
      </c>
      <c r="L217" s="23">
        <f>R217-K217-G217</f>
        <v>5940.5</v>
      </c>
      <c r="M217" s="23"/>
      <c r="N217" s="23"/>
      <c r="O217" s="23"/>
      <c r="P217" s="23"/>
      <c r="Q217" s="23"/>
      <c r="R217" s="23">
        <v>13500</v>
      </c>
      <c r="S217" s="25">
        <f>R217*10</f>
        <v>135000</v>
      </c>
    </row>
    <row r="218" spans="1:20" s="38" customFormat="1" x14ac:dyDescent="0.25">
      <c r="A218" s="20" t="s">
        <v>294</v>
      </c>
      <c r="B218" s="21" t="s">
        <v>134</v>
      </c>
      <c r="C218" s="22">
        <v>0.5</v>
      </c>
      <c r="D218" s="22">
        <v>3</v>
      </c>
      <c r="E218" s="23">
        <v>1885</v>
      </c>
      <c r="F218" s="22"/>
      <c r="G218" s="23">
        <f t="shared" si="86"/>
        <v>1885</v>
      </c>
      <c r="H218" s="23"/>
      <c r="I218" s="23">
        <f>G218*0.1</f>
        <v>188.5</v>
      </c>
      <c r="J218" s="23"/>
      <c r="K218" s="23"/>
      <c r="L218" s="23"/>
      <c r="M218" s="23"/>
      <c r="N218" s="23"/>
      <c r="O218" s="23"/>
      <c r="P218" s="23">
        <f>8000/2-G218</f>
        <v>2115</v>
      </c>
      <c r="Q218" s="23"/>
      <c r="R218" s="23">
        <f>SUM(G218:Q218)</f>
        <v>4188.5</v>
      </c>
      <c r="S218" s="25">
        <f>R218*10</f>
        <v>41885</v>
      </c>
      <c r="T218" s="46"/>
    </row>
    <row r="219" spans="1:20" s="27" customFormat="1" ht="18" customHeight="1" thickBot="1" x14ac:dyDescent="0.3">
      <c r="A219" s="64"/>
      <c r="B219" s="47" t="s">
        <v>59</v>
      </c>
      <c r="C219" s="34">
        <f>SUM(C217:C218)</f>
        <v>1.5</v>
      </c>
      <c r="D219" s="34"/>
      <c r="E219" s="35">
        <f>SUM(E217:E218)</f>
        <v>7700</v>
      </c>
      <c r="F219" s="34">
        <f>SUM(F217:F218)</f>
        <v>0</v>
      </c>
      <c r="G219" s="35">
        <f t="shared" si="86"/>
        <v>7700</v>
      </c>
      <c r="H219" s="35"/>
      <c r="I219" s="35">
        <f>SUM(I218)</f>
        <v>188.5</v>
      </c>
      <c r="J219" s="35"/>
      <c r="K219" s="35">
        <f>SUM(K217:K218)</f>
        <v>1744.5</v>
      </c>
      <c r="L219" s="35">
        <f>SUM(L217:L218)</f>
        <v>5940.5</v>
      </c>
      <c r="M219" s="35"/>
      <c r="N219" s="35"/>
      <c r="O219" s="35"/>
      <c r="P219" s="35">
        <f>SUM(P218)</f>
        <v>2115</v>
      </c>
      <c r="Q219" s="35"/>
      <c r="R219" s="35">
        <f>SUM(R217:R218)</f>
        <v>17688.5</v>
      </c>
      <c r="S219" s="36">
        <f>SUM(S217:S218)</f>
        <v>176885</v>
      </c>
    </row>
    <row r="220" spans="1:20" ht="22.2" customHeight="1" x14ac:dyDescent="0.25">
      <c r="A220" s="15"/>
      <c r="B220" s="55" t="s">
        <v>295</v>
      </c>
      <c r="C220" s="85"/>
      <c r="D220" s="85"/>
      <c r="E220" s="94"/>
      <c r="F220" s="85"/>
      <c r="G220" s="94"/>
      <c r="H220" s="94"/>
      <c r="I220" s="94"/>
      <c r="J220" s="94"/>
      <c r="K220" s="94"/>
      <c r="L220" s="94"/>
      <c r="M220" s="94"/>
      <c r="N220" s="94"/>
      <c r="O220" s="94"/>
      <c r="P220" s="94"/>
      <c r="Q220" s="94"/>
      <c r="R220" s="94"/>
      <c r="S220" s="110"/>
    </row>
    <row r="221" spans="1:20" x14ac:dyDescent="0.25">
      <c r="A221" s="20" t="s">
        <v>296</v>
      </c>
      <c r="B221" s="21" t="s">
        <v>130</v>
      </c>
      <c r="C221" s="22">
        <v>0.5</v>
      </c>
      <c r="D221" s="22">
        <v>10</v>
      </c>
      <c r="E221" s="23">
        <v>2907.5</v>
      </c>
      <c r="F221" s="22"/>
      <c r="G221" s="23">
        <f t="shared" ref="G221:G222" si="87">E221+F221</f>
        <v>2907.5</v>
      </c>
      <c r="H221" s="23"/>
      <c r="I221" s="23"/>
      <c r="J221" s="23"/>
      <c r="K221" s="23">
        <f>G221*0.3</f>
        <v>872.25</v>
      </c>
      <c r="L221" s="23">
        <f>13500/2-G221-K221</f>
        <v>2970.25</v>
      </c>
      <c r="M221" s="23"/>
      <c r="N221" s="23"/>
      <c r="O221" s="23"/>
      <c r="P221" s="23"/>
      <c r="Q221" s="23"/>
      <c r="R221" s="23">
        <f>G221+K221+L221</f>
        <v>6750</v>
      </c>
      <c r="S221" s="25">
        <f>R221*10</f>
        <v>67500</v>
      </c>
    </row>
    <row r="222" spans="1:20" s="27" customFormat="1" ht="19.2" customHeight="1" thickBot="1" x14ac:dyDescent="0.3">
      <c r="A222" s="64"/>
      <c r="B222" s="47" t="s">
        <v>59</v>
      </c>
      <c r="C222" s="34">
        <f>SUM(C221:C221)</f>
        <v>0.5</v>
      </c>
      <c r="D222" s="34"/>
      <c r="E222" s="35">
        <f>SUM(E221:E221)</f>
        <v>2907.5</v>
      </c>
      <c r="F222" s="34">
        <f>SUM(F221:F221)</f>
        <v>0</v>
      </c>
      <c r="G222" s="35">
        <f t="shared" si="87"/>
        <v>2907.5</v>
      </c>
      <c r="H222" s="35"/>
      <c r="I222" s="35">
        <v>0</v>
      </c>
      <c r="J222" s="35"/>
      <c r="K222" s="35">
        <f>SUM(K221:K221)</f>
        <v>872.25</v>
      </c>
      <c r="L222" s="35">
        <f>SUM(L221:L221)</f>
        <v>2970.25</v>
      </c>
      <c r="M222" s="35"/>
      <c r="N222" s="35"/>
      <c r="O222" s="35"/>
      <c r="P222" s="35">
        <v>0</v>
      </c>
      <c r="Q222" s="35"/>
      <c r="R222" s="35">
        <f>SUM(R221:R221)</f>
        <v>6750</v>
      </c>
      <c r="S222" s="36">
        <f>SUM(S221:S221)</f>
        <v>67500</v>
      </c>
    </row>
    <row r="223" spans="1:20" ht="21" customHeight="1" x14ac:dyDescent="0.25">
      <c r="A223" s="15"/>
      <c r="B223" s="55" t="s">
        <v>298</v>
      </c>
      <c r="C223" s="85"/>
      <c r="D223" s="85"/>
      <c r="E223" s="94"/>
      <c r="F223" s="85"/>
      <c r="G223" s="94"/>
      <c r="H223" s="94"/>
      <c r="I223" s="94"/>
      <c r="J223" s="94"/>
      <c r="K223" s="94"/>
      <c r="L223" s="94"/>
      <c r="M223" s="94"/>
      <c r="N223" s="94"/>
      <c r="O223" s="94"/>
      <c r="P223" s="94"/>
      <c r="Q223" s="94"/>
      <c r="R223" s="94"/>
      <c r="S223" s="110"/>
    </row>
    <row r="224" spans="1:20" x14ac:dyDescent="0.25">
      <c r="A224" s="20" t="s">
        <v>299</v>
      </c>
      <c r="B224" s="21" t="s">
        <v>130</v>
      </c>
      <c r="C224" s="22">
        <v>0.5</v>
      </c>
      <c r="D224" s="22">
        <v>10</v>
      </c>
      <c r="E224" s="23">
        <v>2907.5</v>
      </c>
      <c r="F224" s="22"/>
      <c r="G224" s="23">
        <f t="shared" ref="G224:G226" si="88">E224+F224</f>
        <v>2907.5</v>
      </c>
      <c r="H224" s="23"/>
      <c r="I224" s="23"/>
      <c r="J224" s="23"/>
      <c r="K224" s="23">
        <f>G224*0.3</f>
        <v>872.25</v>
      </c>
      <c r="L224" s="23">
        <f>13500/2-G224-K224</f>
        <v>2970.25</v>
      </c>
      <c r="M224" s="23"/>
      <c r="N224" s="23"/>
      <c r="O224" s="23"/>
      <c r="P224" s="23"/>
      <c r="Q224" s="23"/>
      <c r="R224" s="23">
        <f>G224+K224+L224</f>
        <v>6750</v>
      </c>
      <c r="S224" s="25">
        <f>R224*10</f>
        <v>67500</v>
      </c>
    </row>
    <row r="225" spans="1:19" s="38" customFormat="1" x14ac:dyDescent="0.25">
      <c r="A225" s="20" t="s">
        <v>300</v>
      </c>
      <c r="B225" s="21" t="s">
        <v>134</v>
      </c>
      <c r="C225" s="22">
        <v>0.25</v>
      </c>
      <c r="D225" s="22">
        <v>3</v>
      </c>
      <c r="E225" s="23">
        <v>942.5</v>
      </c>
      <c r="F225" s="22"/>
      <c r="G225" s="23">
        <f t="shared" si="88"/>
        <v>942.5</v>
      </c>
      <c r="H225" s="23"/>
      <c r="I225" s="23">
        <f>G225*0.1</f>
        <v>94.25</v>
      </c>
      <c r="J225" s="23"/>
      <c r="K225" s="23"/>
      <c r="L225" s="23"/>
      <c r="M225" s="23"/>
      <c r="N225" s="23"/>
      <c r="O225" s="23"/>
      <c r="P225" s="23">
        <f>8000*0.25-G225</f>
        <v>1057.5</v>
      </c>
      <c r="Q225" s="23"/>
      <c r="R225" s="23">
        <f>E225+I225+P225</f>
        <v>2094.25</v>
      </c>
      <c r="S225" s="25">
        <f>R225*10</f>
        <v>20942.5</v>
      </c>
    </row>
    <row r="226" spans="1:19" s="27" customFormat="1" ht="19.2" customHeight="1" thickBot="1" x14ac:dyDescent="0.3">
      <c r="A226" s="64"/>
      <c r="B226" s="47" t="s">
        <v>59</v>
      </c>
      <c r="C226" s="34">
        <f>SUM(C224:C225)</f>
        <v>0.75</v>
      </c>
      <c r="D226" s="34"/>
      <c r="E226" s="35">
        <f>SUM(E224:E225)</f>
        <v>3850</v>
      </c>
      <c r="F226" s="34">
        <f>SUM(F224:F225)</f>
        <v>0</v>
      </c>
      <c r="G226" s="35">
        <f t="shared" si="88"/>
        <v>3850</v>
      </c>
      <c r="H226" s="35"/>
      <c r="I226" s="35">
        <f>SUM(I225)</f>
        <v>94.25</v>
      </c>
      <c r="J226" s="35"/>
      <c r="K226" s="35">
        <f>SUM(K224:K225)</f>
        <v>872.25</v>
      </c>
      <c r="L226" s="35">
        <f>SUM(L224:L225)</f>
        <v>2970.25</v>
      </c>
      <c r="M226" s="35"/>
      <c r="N226" s="35"/>
      <c r="O226" s="35"/>
      <c r="P226" s="35">
        <f>SUM(P225)</f>
        <v>1057.5</v>
      </c>
      <c r="Q226" s="35"/>
      <c r="R226" s="35">
        <f>SUM(R224:R225)</f>
        <v>8844.25</v>
      </c>
      <c r="S226" s="36">
        <f>SUM(S224:S225)</f>
        <v>88442.5</v>
      </c>
    </row>
    <row r="227" spans="1:19" s="49" customFormat="1" ht="23.25" customHeight="1" thickBot="1" x14ac:dyDescent="0.3">
      <c r="A227" s="67"/>
      <c r="B227" s="119" t="s">
        <v>301</v>
      </c>
      <c r="C227" s="120">
        <f>C27+C37+C45+C40+C53+C59+C80+C121+C109+C115+C134+C145+C151+C158+C165+C174+C179+C219+C215+C209+C195+C200+C222+C226+C185+C204+C190+C138</f>
        <v>190.5</v>
      </c>
      <c r="D227" s="121"/>
      <c r="E227" s="120">
        <f>E27+E37+E45+E40+E53+E59+E80+E121+E109+E115+E134+E145+E151+E158+E165+E174+E179+E215+E219+E209+E195+E200+E222+E185+E204+E190+E138+E226</f>
        <v>1093771.75</v>
      </c>
      <c r="F227" s="120">
        <f>F27+F37+F45+F40+F59+F80+F121+F109+F115+F134+F145+F151+F158+F165+F174+F179+F215+F219+F209+F195+F200+F222+F185+F204+F190+F138</f>
        <v>31419.3</v>
      </c>
      <c r="G227" s="120">
        <f>G27+G37+G45+G40+G53+G59+G80+G121+G109+G115+G134+G145+G151+G158+G165+G174+G179+G215+G219+G209+G195+G200+G222+G185+G204+G190+G138</f>
        <v>1121341.05</v>
      </c>
      <c r="H227" s="120">
        <f>H27+H138</f>
        <v>23683.75</v>
      </c>
      <c r="I227" s="120">
        <f>I37+I45+I80+I121+I109+I115+I134+I145+I151+I158+I165+I174+I179+I215+I219+I209+I195+I200+I222+I185+I204+I190+I138</f>
        <v>26693.515000000003</v>
      </c>
      <c r="J227" s="120">
        <f>J37+J45+J138</f>
        <v>491.82400000000001</v>
      </c>
      <c r="K227" s="120">
        <f>K27+K53+K59+K80+K121+K109+K115+K134+K145+K151+K158+K165+K174+K179+K215+K219+K209+K195+K200+K222+K185+K204+K190+K138</f>
        <v>221272.43999999997</v>
      </c>
      <c r="L227" s="120">
        <f>L53+L59+L80+L121+L109+L115+L134+L145+L151+L158+L165+L174+L179+L215+L219+L209+L195+L200+L222+L185+L204+L190+L138</f>
        <v>880870.78999999992</v>
      </c>
      <c r="M227" s="120">
        <f>M27</f>
        <v>3750</v>
      </c>
      <c r="N227" s="120">
        <f>N80+N121+N138</f>
        <v>25234.035</v>
      </c>
      <c r="O227" s="120">
        <f>O27+O53+O138</f>
        <v>141900.25</v>
      </c>
      <c r="P227" s="120">
        <f>P37+P45+P40+P53+P59+P80+P121+P109+P115+P134+P145+P151+P158+P165+P174+P179+P215+P219+P209+P195+P200+P222+P185+P204+P190+P138</f>
        <v>244323</v>
      </c>
      <c r="Q227" s="120"/>
      <c r="R227" s="120">
        <f>R27+R37+R45+R40+R53+R59+R80+R121+R109+R115+R134+R145+R151+R158+R165+R174+R179+R215+R219+R209+R195+R200+R222+R185+R204+R190+R138+R226</f>
        <v>2698170.6039999998</v>
      </c>
      <c r="S227" s="122">
        <f>S27+S37+S40+S45+S53+S59+S80+S109+S115+S121+S134+S145+S151+S158+S165+S174+S179+S215+S219+S209+S195+S200+S222+S185+S204+S190+S138+S226</f>
        <v>26717706.039999999</v>
      </c>
    </row>
    <row r="228" spans="1:19" ht="12.6" thickBot="1" x14ac:dyDescent="0.3">
      <c r="F228" s="13"/>
      <c r="I228" s="68"/>
    </row>
    <row r="229" spans="1:19" ht="15.6" customHeight="1" x14ac:dyDescent="0.25">
      <c r="B229" s="69" t="s">
        <v>302</v>
      </c>
      <c r="C229" s="70">
        <f>C47+C48+C55+C56+C57+C62+C63+C64+C65+C66+C67+C117+C118+C82+C83+C84+C85+C86+C87+C88+C98+C93+C89+C94+C90+C73+C96+C95+C92+C91+C99+C97+C100+C111+C112+C127+C123+C128+C129+C140+C147+C153+C160+C167+C168+C169+C176+C135+C68+C69+C70+C71+C72</f>
        <v>49.75</v>
      </c>
      <c r="D229" s="70"/>
      <c r="E229" s="70">
        <f>E47+E48+E55+E56+E57+E62+E63+E64+E65+E66+E67+E117+E118+E82+E83+E84+E85+E86+E87+E88+E98+E93+E89+E94+E90+E73+E96+E95+E92+E91+E99+E97+E100+E111+E112+E127+E123+E128+E129+E140+E147+E153+E160+E167+E168+E169+E176+E135+E68+E69+E70+E71+E72</f>
        <v>350011.75</v>
      </c>
      <c r="F229" s="70"/>
      <c r="G229" s="70"/>
      <c r="H229" s="70"/>
      <c r="I229" s="70"/>
      <c r="J229" s="70"/>
      <c r="K229" s="70"/>
      <c r="L229" s="70"/>
      <c r="M229" s="70"/>
      <c r="N229" s="70"/>
      <c r="O229" s="70"/>
      <c r="P229" s="70"/>
      <c r="Q229" s="70">
        <f>Q47+Q48+Q55+Q56+Q57+Q62+Q63+Q64+Q65+Q66+Q67+Q117+Q118+Q82+Q83+Q84+Q85+Q86+Q87+Q88+Q98+Q93+Q89+Q94+Q90+Q73+Q96+Q95+Q92+Q91+Q99+Q97+Q100+Q111+Q112+Q127+Q123+Q128+Q129+Q140+Q147+Q153+Q160+Q167+Q168+Q169+Q176+Q135+Q68+Q69+Q70+Q71+Q72</f>
        <v>0</v>
      </c>
      <c r="R229" s="70">
        <f>R47+R48+R55+R56+R57+R62+R63+R64+R65+R66+R67+R117+R118+R82+R83+R84+R85+R86+R87+R88+R98+R93+R89+R94+R90+R73+R96+R95+R92+R91+R99+R97+R100+R111+R112+R127+R123+R128+R129+R140+R147+R153+R160+R167+R168+R169+R176+R135+R68+R69+R70+R71+R72</f>
        <v>980000</v>
      </c>
      <c r="S229" s="88">
        <f>S47+S48+S55+S56+S57+S62+S63+S64+S65+S66+S67+S117+S118+S82+S83+S84+S85+S86+S87+S88+S98+S93+S89+S94+S90+S73+S96+S95+S92+S91+S99+S97+S100+S111+S112+S127+S123+S128+S129+S140+S147+S153+S160+S167+S168+S169+S176+S135+S68+S69+S70+S71+S72</f>
        <v>9800000</v>
      </c>
    </row>
    <row r="230" spans="1:19" ht="15.6" customHeight="1" x14ac:dyDescent="0.25">
      <c r="B230" s="71" t="s">
        <v>303</v>
      </c>
      <c r="C230" s="72">
        <f>C17+C49+C52+C74+C75+C76+C119+C101+C104+C105+C102+C103+C106+C113+C124+C130+C131+C132+C141+C148+C149+C154+C155+C161+C162+C170+C171+C177+C212+C211+C217+C206+C192+C197+C221+C182+C202+C187+C136+C224</f>
        <v>69</v>
      </c>
      <c r="D230" s="72"/>
      <c r="E230" s="123">
        <f>E17+E49+E52+E74+E75+E76+E119+E101+E104+E105+E102+E103+E106+E113+E124+E130+E131+E132+E141+E148+E149+E154+E155+E161+E162+E170+E171+E177+E212+E211+E217+E206+E192+E197+E221+E182+E202+E187+E136+E224</f>
        <v>387530</v>
      </c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>
        <f>Q17+Q49+Q52+Q74+Q75+Q76+Q119+Q101+Q104+Q105+Q102+Q103+Q106+Q113+Q124+Q130+Q131+Q132+Q141+Q148+Q149+Q154+Q155+Q161+Q162+Q170+Q171+Q177+Q212+Q211+Q217+Q206+Q192+Q197+Q221+Q182+Q202+Q187+Q136+Q224</f>
        <v>0</v>
      </c>
      <c r="R230" s="72">
        <f>R17+R49+R52+R74+R75+R76+R119+R101+R104+R105+R102+R103+R106+R113+R124+R130+R131+R132+R141+R148+R149+R154+R155+R161+R162+R170+R171+R177+R212+R211+R217+R206+R192+R197+R221+R182+R202+R187+R136+R224</f>
        <v>940097</v>
      </c>
      <c r="S230" s="89">
        <f>S17+S49+S52+S74+S75+S76+S119+S101+S104+S105+S102+S103+S106+S113+S124+S130+S131+S132+S141+S148+S149+S154+S155+S161+S162+S170+S171+S177+S212+S211+S217+S206+S192+S197+S221+S182+S202+S187+S136+S224</f>
        <v>9400970</v>
      </c>
    </row>
    <row r="231" spans="1:19" ht="15.6" customHeight="1" x14ac:dyDescent="0.25">
      <c r="B231" s="71" t="s">
        <v>304</v>
      </c>
      <c r="C231" s="72">
        <f>C77+C78+C120+C108+C114+C133+C142+C150+C156+C163+C172+C178+C213+C218+C207+C193+C198+C183+C203+C188+C225</f>
        <v>26.75</v>
      </c>
      <c r="D231" s="72"/>
      <c r="E231" s="123">
        <f>E77+E78+E120+E108+E114+E133+E142+E150+E156+E163+E172+E178+E213+E218+E207+E193+E198+E183+E203+E188+E225</f>
        <v>103583.5</v>
      </c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 t="e">
        <f>Q77+Q78+Q120+Q108+Q114+Q133+Q142+Q150+Q156+Q163+Q172+Q178+Q213+Q218+Q207+Q193+Q198+#REF!+Q183+Q203+Q188+Q225</f>
        <v>#REF!</v>
      </c>
      <c r="R231" s="123">
        <f>R77+R78+R120+R108+R114+R133+R142+R150+R156+R163+R172+R178+R213+R218+R207+R193+R198+R183+R203+R188+R225</f>
        <v>231462.53</v>
      </c>
      <c r="S231" s="124">
        <f>S77+S78+S120+S108+S114+S133+S142+S150+S156+S163+S172+S178+S213+S218+S207+S193+S198+S183+S203+S188+S225</f>
        <v>2314625.2999999998</v>
      </c>
    </row>
    <row r="232" spans="1:19" ht="15.6" customHeight="1" x14ac:dyDescent="0.25">
      <c r="B232" s="71" t="s">
        <v>305</v>
      </c>
      <c r="C232" s="72">
        <f>C14+C15+C16+C18+C19+C20+C21+C22+C23+C24+C25+C26+C29+C30+C31+C32+C34+C35+C36+C42+C43+C44+C39+C50+C51+C58+C79+C107+C143+C144+C157+C164+C173+C214+C208+C194+C199+C184+C189+C137+C33</f>
        <v>45</v>
      </c>
      <c r="D232" s="72"/>
      <c r="E232" s="123">
        <f>E14+E15+E16+E18+E19+E20+E21+E22+E23+E24+E25+E26+E29+E30+E31+E32+E34+E35+E36+E42+E43+E44+E39+E50+E51+E58+E79+E107+E143+E144+E157+E164+E173+E214+E208+E194+E199+E184+E189+E137+E33</f>
        <v>252646.5</v>
      </c>
      <c r="F232" s="72"/>
      <c r="G232" s="72"/>
      <c r="H232" s="72" t="s">
        <v>8</v>
      </c>
      <c r="I232" s="72"/>
      <c r="J232" s="72"/>
      <c r="K232" s="72"/>
      <c r="L232" s="72"/>
      <c r="M232" s="72"/>
      <c r="N232" s="72"/>
      <c r="O232" s="72"/>
      <c r="P232" s="72"/>
      <c r="Q232" s="72">
        <f>Q14+Q15+Q16+Q18+Q19+Q20+Q21+Q22+Q23+Q24+Q25+Q26+Q29+Q30+Q31+Q32+Q34+Q35+Q36+Q42+Q43+Q44+Q39+Q50+Q51+Q58+Q79+Q107+Q143+Q144+Q157+Q164+Q173+Q214+Q208+Q194+Q199+Q184+Q189+Q137+Q33</f>
        <v>0</v>
      </c>
      <c r="R232" s="72">
        <f>R14+R15+R16+R18+R19+R20+R21+R22+R23+R24+R25+R26+R29+R30+R31+R32+R34+R35+R36+R42+R43+R44+R39+R50+R51+R58+R79+R107+R143+R144+R157+R164+R173+R214+R208+R194+R199+R184+R189+R137+R33</f>
        <v>546611.07400000002</v>
      </c>
      <c r="S232" s="72">
        <f>S14+S15+S16+S18+S19+S20+S21+S22+S23+S24+S25+S26+S29+S30+S31+S32+S34+S35+S36+S42+S43+S44+S39+S50+S51+S58+S79+S107+S143+S144+S157+S164+S173+S214+S208+S194+S199+S184+S189+S137+S33</f>
        <v>5202110.74</v>
      </c>
    </row>
    <row r="233" spans="1:19" ht="12.6" thickBot="1" x14ac:dyDescent="0.3">
      <c r="B233" s="73" t="s">
        <v>306</v>
      </c>
      <c r="C233" s="74">
        <f>SUBTOTAL(9,C229:C232)</f>
        <v>190.5</v>
      </c>
      <c r="D233" s="74"/>
      <c r="E233" s="75">
        <f>SUBTOTAL(9,E229:E232)</f>
        <v>1093771.75</v>
      </c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 t="e">
        <f t="shared" ref="Q233:S233" si="89">SUBTOTAL(9,Q229:Q232)</f>
        <v>#REF!</v>
      </c>
      <c r="R233" s="75">
        <f>R229+R230+R231+R232</f>
        <v>2698170.6039999998</v>
      </c>
      <c r="S233" s="76">
        <f t="shared" si="89"/>
        <v>26717706.039999999</v>
      </c>
    </row>
    <row r="234" spans="1:19" ht="19.95" customHeight="1" x14ac:dyDescent="0.25">
      <c r="R234" s="53"/>
    </row>
    <row r="235" spans="1:19" ht="19.2" customHeight="1" x14ac:dyDescent="0.3">
      <c r="B235" s="77" t="s">
        <v>307</v>
      </c>
      <c r="C235" s="78"/>
      <c r="D235" s="78"/>
      <c r="E235" s="79">
        <f>E233</f>
        <v>1093771.75</v>
      </c>
      <c r="G235" s="80"/>
      <c r="H235" s="81"/>
      <c r="I235" s="82"/>
    </row>
    <row r="236" spans="1:19" x14ac:dyDescent="0.25">
      <c r="B236" s="77" t="s">
        <v>308</v>
      </c>
      <c r="E236" s="52">
        <f>S227+E235</f>
        <v>27811477.789999999</v>
      </c>
    </row>
    <row r="238" spans="1:19" ht="15.6" x14ac:dyDescent="0.3">
      <c r="C238" s="83"/>
      <c r="D238" s="83"/>
      <c r="E238" s="83"/>
      <c r="F238" s="83"/>
      <c r="G238" s="83"/>
      <c r="H238" s="83"/>
      <c r="I238" s="83"/>
      <c r="J238" s="83"/>
    </row>
    <row r="239" spans="1:19" ht="15.6" x14ac:dyDescent="0.3">
      <c r="C239" s="83" t="s">
        <v>3</v>
      </c>
      <c r="D239" s="83"/>
      <c r="E239" s="83"/>
      <c r="F239" s="83"/>
      <c r="G239" s="83"/>
      <c r="H239" s="83" t="s">
        <v>309</v>
      </c>
      <c r="I239" s="83"/>
      <c r="J239" s="83"/>
    </row>
    <row r="240" spans="1:19" ht="15.6" x14ac:dyDescent="0.3">
      <c r="C240" s="83"/>
      <c r="D240" s="83"/>
      <c r="E240" s="83"/>
      <c r="F240" s="83"/>
      <c r="G240" s="83"/>
      <c r="H240" s="83"/>
      <c r="I240" s="83"/>
      <c r="J240" s="83"/>
    </row>
    <row r="241" spans="3:10" ht="15.6" x14ac:dyDescent="0.3">
      <c r="C241" s="83"/>
      <c r="D241" s="83"/>
      <c r="E241" s="83"/>
      <c r="F241" s="83"/>
      <c r="G241" s="83"/>
      <c r="H241" s="83"/>
      <c r="I241" s="83"/>
      <c r="J241" s="83"/>
    </row>
    <row r="242" spans="3:10" ht="15.6" x14ac:dyDescent="0.3">
      <c r="C242" s="143" t="s">
        <v>321</v>
      </c>
      <c r="D242" s="143"/>
      <c r="E242" s="143"/>
      <c r="F242" s="83"/>
      <c r="G242" s="83"/>
      <c r="H242" s="83" t="s">
        <v>311</v>
      </c>
      <c r="I242" s="83"/>
      <c r="J242" s="83"/>
    </row>
    <row r="243" spans="3:10" ht="15.6" x14ac:dyDescent="0.3">
      <c r="C243" s="83"/>
      <c r="D243" s="84"/>
      <c r="E243" s="84"/>
      <c r="F243" s="83"/>
      <c r="G243" s="83"/>
      <c r="H243" s="83"/>
      <c r="I243" s="83"/>
      <c r="J243" s="83"/>
    </row>
    <row r="244" spans="3:10" ht="15.6" x14ac:dyDescent="0.3">
      <c r="C244" s="83"/>
      <c r="D244" s="83"/>
      <c r="E244" s="83"/>
      <c r="F244" s="83"/>
      <c r="G244" s="83"/>
      <c r="H244" s="83"/>
      <c r="I244" s="83"/>
      <c r="J244" s="83"/>
    </row>
    <row r="245" spans="3:10" ht="15.6" x14ac:dyDescent="0.3">
      <c r="C245" s="83" t="s">
        <v>46</v>
      </c>
      <c r="D245" s="83"/>
      <c r="E245" s="83"/>
      <c r="F245" s="83"/>
      <c r="G245" s="83"/>
      <c r="H245" s="83" t="s">
        <v>311</v>
      </c>
      <c r="I245" s="83"/>
      <c r="J245" s="83"/>
    </row>
    <row r="246" spans="3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3:10" ht="15.6" x14ac:dyDescent="0.3">
      <c r="C247" s="83"/>
      <c r="D247" s="83"/>
      <c r="E247" s="83"/>
      <c r="F247" s="83"/>
      <c r="G247" s="83"/>
      <c r="H247" s="83"/>
      <c r="I247" s="83"/>
      <c r="J247" s="83"/>
    </row>
    <row r="248" spans="3:10" ht="15.6" x14ac:dyDescent="0.3">
      <c r="C248" s="143"/>
      <c r="D248" s="144"/>
      <c r="E248" s="144"/>
      <c r="F248" s="83"/>
      <c r="G248" s="83"/>
      <c r="H248" s="83"/>
      <c r="I248" s="83"/>
      <c r="J248" s="83"/>
    </row>
    <row r="249" spans="3:10" ht="15.6" x14ac:dyDescent="0.3">
      <c r="C249" s="83"/>
      <c r="D249" s="84"/>
      <c r="E249" s="84"/>
      <c r="F249" s="83"/>
      <c r="G249" s="83"/>
      <c r="H249" s="83"/>
      <c r="I249" s="83"/>
      <c r="J249" s="83"/>
    </row>
    <row r="250" spans="3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3:10" ht="15.6" x14ac:dyDescent="0.3">
      <c r="C251" s="83"/>
      <c r="D251" s="83"/>
      <c r="E251" s="83"/>
      <c r="F251" s="83"/>
      <c r="G251" s="83"/>
      <c r="H251" s="83"/>
      <c r="I251" s="83"/>
      <c r="J251" s="83"/>
    </row>
  </sheetData>
  <mergeCells count="29">
    <mergeCell ref="C248:E248"/>
    <mergeCell ref="O11:O12"/>
    <mergeCell ref="P11:P12"/>
    <mergeCell ref="Q11:Q12"/>
    <mergeCell ref="R11:R12"/>
    <mergeCell ref="S11:S12"/>
    <mergeCell ref="C242:E242"/>
    <mergeCell ref="F11:F12"/>
    <mergeCell ref="G11:G12"/>
    <mergeCell ref="H11:K11"/>
    <mergeCell ref="L11:L12"/>
    <mergeCell ref="M11:M12"/>
    <mergeCell ref="N11:N12"/>
    <mergeCell ref="M6:S6"/>
    <mergeCell ref="O8:P8"/>
    <mergeCell ref="S8:AH8"/>
    <mergeCell ref="B9:R9"/>
    <mergeCell ref="B10:R10"/>
    <mergeCell ref="A11:A12"/>
    <mergeCell ref="B11:B12"/>
    <mergeCell ref="C11:C12"/>
    <mergeCell ref="D11:D12"/>
    <mergeCell ref="E11:E12"/>
    <mergeCell ref="B1:S1"/>
    <mergeCell ref="M2:S2"/>
    <mergeCell ref="B3:D3"/>
    <mergeCell ref="M3:S3"/>
    <mergeCell ref="B5:D5"/>
    <mergeCell ref="M5:P5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37C09-6376-4FBE-9ED8-AA1BB8BB91BD}">
  <dimension ref="A1:AI255"/>
  <sheetViews>
    <sheetView zoomScale="70" zoomScaleNormal="70" workbookViewId="0">
      <selection sqref="A1:XFD1048576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3" width="11.33203125" style="2" customWidth="1"/>
    <col min="14" max="14" width="11.109375" style="2" customWidth="1"/>
    <col min="15" max="15" width="12.5546875" style="2" customWidth="1"/>
    <col min="16" max="16" width="10.88671875" style="2" customWidth="1"/>
    <col min="17" max="17" width="0.21875" style="2" customWidth="1"/>
    <col min="18" max="18" width="11.5546875" style="2" customWidth="1"/>
    <col min="19" max="19" width="11.886718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4"/>
      <c r="S1" s="16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63"/>
      <c r="N2" s="164"/>
      <c r="O2" s="164"/>
      <c r="P2" s="164"/>
      <c r="Q2" s="164"/>
      <c r="R2" s="164"/>
      <c r="S2" s="164"/>
    </row>
    <row r="3" spans="1:35" ht="40.799999999999997" customHeight="1" x14ac:dyDescent="0.35">
      <c r="B3" s="165" t="s">
        <v>0</v>
      </c>
      <c r="C3" s="166"/>
      <c r="D3" s="166"/>
      <c r="E3" s="4"/>
      <c r="F3" s="4"/>
      <c r="G3" s="4"/>
      <c r="H3" s="4"/>
      <c r="I3" s="4"/>
      <c r="J3" s="4"/>
      <c r="K3" s="4"/>
      <c r="L3" s="4"/>
      <c r="M3" s="167" t="s">
        <v>1</v>
      </c>
      <c r="N3" s="168"/>
      <c r="O3" s="168"/>
      <c r="P3" s="168"/>
      <c r="Q3" s="168"/>
      <c r="R3" s="168"/>
      <c r="S3" s="168"/>
    </row>
    <row r="4" spans="1:35" ht="11.4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/>
      <c r="N4"/>
      <c r="O4"/>
      <c r="P4"/>
      <c r="Q4"/>
      <c r="R4"/>
      <c r="S4"/>
    </row>
    <row r="5" spans="1:35" ht="17.399999999999999" x14ac:dyDescent="0.3">
      <c r="B5" s="169" t="s">
        <v>2</v>
      </c>
      <c r="C5" s="169"/>
      <c r="D5" s="169"/>
      <c r="G5" s="8"/>
      <c r="H5" s="8"/>
      <c r="I5" s="8"/>
      <c r="J5" s="8"/>
      <c r="K5" s="8"/>
      <c r="L5" s="8"/>
      <c r="M5" s="143" t="s">
        <v>3</v>
      </c>
      <c r="N5" s="144"/>
      <c r="O5" s="144"/>
      <c r="P5" s="144"/>
      <c r="Q5" s="9"/>
      <c r="R5" s="9"/>
      <c r="S5" s="3"/>
    </row>
    <row r="6" spans="1:35" ht="29.4" customHeight="1" x14ac:dyDescent="0.3">
      <c r="B6" s="10"/>
      <c r="G6" s="11"/>
      <c r="H6" s="12"/>
      <c r="M6" s="155" t="s">
        <v>4</v>
      </c>
      <c r="N6" s="144"/>
      <c r="O6" s="144"/>
      <c r="P6" s="144"/>
      <c r="Q6" s="144"/>
      <c r="R6" s="144"/>
      <c r="S6" s="144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6" t="s">
        <v>320</v>
      </c>
      <c r="P8" s="157"/>
      <c r="Q8" s="13"/>
      <c r="R8" s="13"/>
      <c r="S8" s="158" t="s">
        <v>6</v>
      </c>
      <c r="T8" s="158"/>
      <c r="U8" s="158"/>
      <c r="V8" s="158"/>
      <c r="W8" s="158"/>
      <c r="X8" s="158"/>
      <c r="Y8" s="158"/>
      <c r="Z8" s="158"/>
      <c r="AA8" s="158"/>
      <c r="AB8" s="158"/>
      <c r="AC8" s="158"/>
      <c r="AD8" s="158"/>
      <c r="AE8" s="158"/>
      <c r="AF8" s="158"/>
      <c r="AG8" s="158"/>
      <c r="AH8" s="158"/>
      <c r="AI8" s="14"/>
    </row>
    <row r="9" spans="1:35" ht="23.4" customHeight="1" x14ac:dyDescent="0.3">
      <c r="B9" s="159" t="s">
        <v>7</v>
      </c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4" t="s">
        <v>8</v>
      </c>
    </row>
    <row r="10" spans="1:35" ht="27.6" customHeight="1" thickBot="1" x14ac:dyDescent="0.35">
      <c r="B10" s="160" t="s">
        <v>322</v>
      </c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</row>
    <row r="11" spans="1:35" ht="37.950000000000003" customHeight="1" x14ac:dyDescent="0.25">
      <c r="A11" s="161"/>
      <c r="B11" s="149" t="s">
        <v>10</v>
      </c>
      <c r="C11" s="151" t="s">
        <v>11</v>
      </c>
      <c r="D11" s="151" t="s">
        <v>12</v>
      </c>
      <c r="E11" s="151" t="s">
        <v>13</v>
      </c>
      <c r="F11" s="151" t="s">
        <v>14</v>
      </c>
      <c r="G11" s="151" t="s">
        <v>15</v>
      </c>
      <c r="H11" s="151" t="s">
        <v>16</v>
      </c>
      <c r="I11" s="151"/>
      <c r="J11" s="151"/>
      <c r="K11" s="151"/>
      <c r="L11" s="147" t="s">
        <v>17</v>
      </c>
      <c r="M11" s="147" t="s">
        <v>18</v>
      </c>
      <c r="N11" s="147" t="s">
        <v>19</v>
      </c>
      <c r="O11" s="145" t="s">
        <v>20</v>
      </c>
      <c r="P11" s="147" t="s">
        <v>21</v>
      </c>
      <c r="Q11" s="149"/>
      <c r="R11" s="151" t="s">
        <v>22</v>
      </c>
      <c r="S11" s="153" t="s">
        <v>325</v>
      </c>
    </row>
    <row r="12" spans="1:35" ht="64.95" customHeight="1" thickBot="1" x14ac:dyDescent="0.3">
      <c r="A12" s="162"/>
      <c r="B12" s="150"/>
      <c r="C12" s="152"/>
      <c r="D12" s="152"/>
      <c r="E12" s="152"/>
      <c r="F12" s="152"/>
      <c r="G12" s="152"/>
      <c r="H12" s="16" t="s">
        <v>24</v>
      </c>
      <c r="I12" s="17" t="s">
        <v>25</v>
      </c>
      <c r="J12" s="17" t="s">
        <v>26</v>
      </c>
      <c r="K12" s="16" t="s">
        <v>27</v>
      </c>
      <c r="L12" s="148"/>
      <c r="M12" s="148"/>
      <c r="N12" s="148"/>
      <c r="O12" s="146"/>
      <c r="P12" s="148"/>
      <c r="Q12" s="150"/>
      <c r="R12" s="152"/>
      <c r="S12" s="154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R14*9</f>
        <v>483750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R15*9</f>
        <v>202500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202500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5815</v>
      </c>
      <c r="F17" s="23"/>
      <c r="G17" s="23">
        <f>E17</f>
        <v>5815</v>
      </c>
      <c r="H17" s="23">
        <f>G17*0.5</f>
        <v>2907.5</v>
      </c>
      <c r="I17" s="23" t="s">
        <v>37</v>
      </c>
      <c r="J17" s="24"/>
      <c r="K17" s="22">
        <f>G17*0.3</f>
        <v>1744.5</v>
      </c>
      <c r="L17" s="23"/>
      <c r="M17" s="24"/>
      <c r="N17" s="23"/>
      <c r="O17" s="26">
        <f>G17*200%</f>
        <v>11630</v>
      </c>
      <c r="P17" s="24"/>
      <c r="Q17" s="22"/>
      <c r="R17" s="23">
        <f>N17+K17+H17+E17+L17+O17</f>
        <v>22097</v>
      </c>
      <c r="S17" s="25">
        <f t="shared" si="0"/>
        <v>198873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5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360000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5240*C19</f>
        <v>10480</v>
      </c>
      <c r="F19" s="23"/>
      <c r="G19" s="23">
        <f t="shared" si="1"/>
        <v>10480</v>
      </c>
      <c r="H19" s="23">
        <f t="shared" ref="H19:H26" si="2">G19*0.5</f>
        <v>5240</v>
      </c>
      <c r="I19" s="23"/>
      <c r="J19" s="23"/>
      <c r="K19" s="23"/>
      <c r="L19" s="23" t="s">
        <v>44</v>
      </c>
      <c r="M19" s="23"/>
      <c r="N19" s="23"/>
      <c r="O19" s="23">
        <f>10480*C19</f>
        <v>20960</v>
      </c>
      <c r="P19" s="23" t="s">
        <v>8</v>
      </c>
      <c r="Q19" s="23"/>
      <c r="R19" s="23">
        <f>G19+H19+O19</f>
        <v>36680</v>
      </c>
      <c r="S19" s="25">
        <f t="shared" si="0"/>
        <v>330120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8</v>
      </c>
      <c r="E20" s="23">
        <v>5240</v>
      </c>
      <c r="F20" s="23"/>
      <c r="G20" s="23">
        <f t="shared" si="1"/>
        <v>5240</v>
      </c>
      <c r="H20" s="23">
        <f t="shared" si="2"/>
        <v>2620</v>
      </c>
      <c r="I20" s="23"/>
      <c r="J20" s="23"/>
      <c r="K20" s="23"/>
      <c r="L20" s="23" t="s">
        <v>44</v>
      </c>
      <c r="M20" s="23"/>
      <c r="N20" s="23"/>
      <c r="O20" s="23">
        <v>10480</v>
      </c>
      <c r="P20" s="23" t="s">
        <v>8</v>
      </c>
      <c r="Q20" s="23"/>
      <c r="R20" s="23">
        <f>G20+H20+O20</f>
        <v>18340</v>
      </c>
      <c r="S20" s="25">
        <f t="shared" si="0"/>
        <v>165060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5240</v>
      </c>
      <c r="F21" s="22"/>
      <c r="G21" s="23">
        <f t="shared" si="1"/>
        <v>5240</v>
      </c>
      <c r="H21" s="23">
        <f t="shared" si="2"/>
        <v>2620</v>
      </c>
      <c r="I21" s="24"/>
      <c r="J21" s="24"/>
      <c r="K21" s="22"/>
      <c r="L21" s="24"/>
      <c r="M21" s="24"/>
      <c r="N21" s="23"/>
      <c r="O21" s="23">
        <f>G21*200%</f>
        <v>10480</v>
      </c>
      <c r="P21" s="24"/>
      <c r="Q21" s="22"/>
      <c r="R21" s="23">
        <f t="shared" ref="R21:R25" si="3">G21+H21+O21</f>
        <v>18340</v>
      </c>
      <c r="S21" s="25">
        <f t="shared" si="0"/>
        <v>165060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4633</v>
      </c>
      <c r="F22" s="22"/>
      <c r="G22" s="23">
        <f t="shared" si="1"/>
        <v>4633</v>
      </c>
      <c r="H22" s="22">
        <f t="shared" si="2"/>
        <v>2316.5</v>
      </c>
      <c r="I22" s="24"/>
      <c r="J22" s="24"/>
      <c r="K22" s="22"/>
      <c r="L22" s="24"/>
      <c r="M22" s="24"/>
      <c r="N22" s="23"/>
      <c r="O22" s="23">
        <f>G22*200%</f>
        <v>9266</v>
      </c>
      <c r="P22" s="24"/>
      <c r="Q22" s="22"/>
      <c r="R22" s="23">
        <f t="shared" si="3"/>
        <v>16215.5</v>
      </c>
      <c r="S22" s="25">
        <f t="shared" si="0"/>
        <v>145939.5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E22/2</f>
        <v>2316.5</v>
      </c>
      <c r="F23" s="22"/>
      <c r="G23" s="23">
        <f t="shared" si="1"/>
        <v>2316.5</v>
      </c>
      <c r="H23" s="22">
        <f t="shared" si="2"/>
        <v>1158.25</v>
      </c>
      <c r="I23" s="24"/>
      <c r="J23" s="24"/>
      <c r="K23" s="22"/>
      <c r="L23" s="24"/>
      <c r="M23" s="24"/>
      <c r="N23" s="23"/>
      <c r="O23" s="23">
        <f>G23*150%</f>
        <v>3474.75</v>
      </c>
      <c r="P23" s="24"/>
      <c r="Q23" s="22"/>
      <c r="R23" s="23">
        <f t="shared" si="3"/>
        <v>6949.5</v>
      </c>
      <c r="S23" s="25">
        <f t="shared" si="0"/>
        <v>62545.5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4058</v>
      </c>
      <c r="F24" s="22"/>
      <c r="G24" s="23">
        <f t="shared" si="1"/>
        <v>4058</v>
      </c>
      <c r="H24" s="22">
        <f t="shared" si="2"/>
        <v>2029</v>
      </c>
      <c r="I24" s="24"/>
      <c r="J24" s="24"/>
      <c r="K24" s="22"/>
      <c r="L24" s="24"/>
      <c r="M24" s="24"/>
      <c r="N24" s="23"/>
      <c r="O24" s="23">
        <f>G24*200%</f>
        <v>8116</v>
      </c>
      <c r="P24" s="24"/>
      <c r="Q24" s="22"/>
      <c r="R24" s="23">
        <f t="shared" si="3"/>
        <v>14203</v>
      </c>
      <c r="S24" s="25">
        <f t="shared" si="0"/>
        <v>127827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5527</v>
      </c>
      <c r="F25" s="23"/>
      <c r="G25" s="23">
        <f t="shared" si="1"/>
        <v>5527</v>
      </c>
      <c r="H25" s="23">
        <f t="shared" si="2"/>
        <v>2763.5</v>
      </c>
      <c r="I25" s="23"/>
      <c r="J25" s="23"/>
      <c r="K25" s="23"/>
      <c r="L25" s="23"/>
      <c r="M25" s="23"/>
      <c r="N25" s="23"/>
      <c r="O25" s="23">
        <f>G25*150%</f>
        <v>8290.5</v>
      </c>
      <c r="P25" s="23"/>
      <c r="Q25" s="23"/>
      <c r="R25" s="23">
        <f t="shared" si="3"/>
        <v>16581</v>
      </c>
      <c r="S25" s="25">
        <f t="shared" si="0"/>
        <v>149229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4058*C26</f>
        <v>4058</v>
      </c>
      <c r="F26" s="22"/>
      <c r="G26" s="23">
        <f t="shared" si="1"/>
        <v>4058</v>
      </c>
      <c r="H26" s="22">
        <f t="shared" si="2"/>
        <v>2029</v>
      </c>
      <c r="I26" s="24"/>
      <c r="J26" s="24"/>
      <c r="K26" s="22"/>
      <c r="L26" s="24"/>
      <c r="M26" s="24"/>
      <c r="N26" s="23"/>
      <c r="O26" s="23">
        <f>G26*150%</f>
        <v>6087</v>
      </c>
      <c r="P26" s="24"/>
      <c r="Q26" s="22"/>
      <c r="R26" s="23">
        <f>G26+H26+O26</f>
        <v>12174</v>
      </c>
      <c r="S26" s="25">
        <f t="shared" si="0"/>
        <v>109566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137367.5</v>
      </c>
      <c r="F27" s="34"/>
      <c r="G27" s="35">
        <f>SUM(G14:G26)</f>
        <v>137367.5</v>
      </c>
      <c r="H27" s="34">
        <f>SUM(H14:H26)</f>
        <v>23683.75</v>
      </c>
      <c r="I27" s="90"/>
      <c r="J27" s="90"/>
      <c r="K27" s="34">
        <f>SUM(K14:K26)</f>
        <v>1744.5</v>
      </c>
      <c r="L27" s="90"/>
      <c r="M27" s="34">
        <f>SUM(M14:M26)</f>
        <v>3750</v>
      </c>
      <c r="N27" s="35"/>
      <c r="O27" s="35">
        <f>SUM(O14:O26)</f>
        <v>133784.25</v>
      </c>
      <c r="P27" s="90"/>
      <c r="Q27" s="34"/>
      <c r="R27" s="35">
        <f>SUM(R14:R26)</f>
        <v>300330</v>
      </c>
      <c r="S27" s="36">
        <f>SUM(S14:S26)</f>
        <v>2702970</v>
      </c>
    </row>
    <row r="28" spans="1:19" s="13" customFormat="1" ht="25.2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93"/>
    </row>
    <row r="29" spans="1:19" x14ac:dyDescent="0.25">
      <c r="A29" s="20" t="s">
        <v>61</v>
      </c>
      <c r="B29" s="21" t="s">
        <v>62</v>
      </c>
      <c r="C29" s="22">
        <v>1</v>
      </c>
      <c r="D29" s="22">
        <v>7</v>
      </c>
      <c r="E29" s="23">
        <v>4920</v>
      </c>
      <c r="F29" s="22"/>
      <c r="G29" s="23">
        <f t="shared" ref="G29:G31" si="4">E29+F29</f>
        <v>4920</v>
      </c>
      <c r="H29" s="23"/>
      <c r="I29" s="23"/>
      <c r="J29" s="23"/>
      <c r="K29" s="23"/>
      <c r="L29" s="23"/>
      <c r="M29" s="23"/>
      <c r="N29" s="23"/>
      <c r="O29" s="23"/>
      <c r="P29" s="23">
        <f>8000*C29-G29</f>
        <v>3080</v>
      </c>
      <c r="Q29" s="23"/>
      <c r="R29" s="23">
        <f>G29+H29+I29+ J29+K29+L29+N29+O29+P29</f>
        <v>8000</v>
      </c>
      <c r="S29" s="25">
        <f>R29*9</f>
        <v>72000</v>
      </c>
    </row>
    <row r="30" spans="1:19" x14ac:dyDescent="0.25">
      <c r="A30" s="20" t="s">
        <v>63</v>
      </c>
      <c r="B30" s="21" t="s">
        <v>64</v>
      </c>
      <c r="C30" s="22">
        <v>1</v>
      </c>
      <c r="D30" s="22">
        <v>1</v>
      </c>
      <c r="E30" s="23">
        <v>3195</v>
      </c>
      <c r="F30" s="22"/>
      <c r="G30" s="23">
        <f t="shared" si="4"/>
        <v>3195</v>
      </c>
      <c r="H30" s="23"/>
      <c r="I30" s="23"/>
      <c r="J30" s="23"/>
      <c r="K30" s="23"/>
      <c r="L30" s="23"/>
      <c r="M30" s="23"/>
      <c r="N30" s="23"/>
      <c r="O30" s="23"/>
      <c r="P30" s="23">
        <f>8000-G30</f>
        <v>4805</v>
      </c>
      <c r="Q30" s="23"/>
      <c r="R30" s="23">
        <f t="shared" ref="R30:R31" si="5">G30+H30+I30+ J30+K30+L30+N30+O30+P30</f>
        <v>8000</v>
      </c>
      <c r="S30" s="25">
        <f t="shared" ref="S30:S36" si="6">R30*9</f>
        <v>72000</v>
      </c>
    </row>
    <row r="31" spans="1:19" x14ac:dyDescent="0.25">
      <c r="A31" s="20" t="s">
        <v>65</v>
      </c>
      <c r="B31" s="21" t="s">
        <v>66</v>
      </c>
      <c r="C31" s="22">
        <v>1</v>
      </c>
      <c r="D31" s="22">
        <v>1</v>
      </c>
      <c r="E31" s="23">
        <v>3195</v>
      </c>
      <c r="F31" s="22"/>
      <c r="G31" s="23">
        <f t="shared" si="4"/>
        <v>3195</v>
      </c>
      <c r="H31" s="23"/>
      <c r="I31" s="23"/>
      <c r="J31" s="23"/>
      <c r="K31" s="23"/>
      <c r="L31" s="23"/>
      <c r="M31" s="23"/>
      <c r="N31" s="23"/>
      <c r="O31" s="23"/>
      <c r="P31" s="23">
        <f t="shared" ref="P31" si="7">8000-G31</f>
        <v>4805</v>
      </c>
      <c r="Q31" s="23"/>
      <c r="R31" s="23">
        <f t="shared" si="5"/>
        <v>8000</v>
      </c>
      <c r="S31" s="25">
        <f t="shared" si="6"/>
        <v>72000</v>
      </c>
    </row>
    <row r="32" spans="1:19" x14ac:dyDescent="0.25">
      <c r="A32" s="20" t="s">
        <v>67</v>
      </c>
      <c r="B32" s="21" t="s">
        <v>68</v>
      </c>
      <c r="C32" s="22">
        <v>1.5</v>
      </c>
      <c r="D32" s="22">
        <v>3</v>
      </c>
      <c r="E32" s="23">
        <f>3770*C32</f>
        <v>5655</v>
      </c>
      <c r="F32" s="22"/>
      <c r="G32" s="23">
        <f t="shared" si="1"/>
        <v>5655</v>
      </c>
      <c r="H32" s="23"/>
      <c r="I32" s="23"/>
      <c r="J32" s="23"/>
      <c r="K32" s="23"/>
      <c r="L32" s="23"/>
      <c r="M32" s="23"/>
      <c r="N32" s="23"/>
      <c r="O32" s="23"/>
      <c r="P32" s="23">
        <f>8000*C32-G32</f>
        <v>6345</v>
      </c>
      <c r="Q32" s="23"/>
      <c r="R32" s="23">
        <f>G32+H32+I32+ J32+K32+L32+N32+O32+P32</f>
        <v>12000</v>
      </c>
      <c r="S32" s="25">
        <f t="shared" si="6"/>
        <v>108000</v>
      </c>
    </row>
    <row r="33" spans="1:19" ht="24" x14ac:dyDescent="0.25">
      <c r="A33" s="20" t="s">
        <v>67</v>
      </c>
      <c r="B33" s="21" t="s">
        <v>315</v>
      </c>
      <c r="C33" s="22">
        <v>0.5</v>
      </c>
      <c r="D33" s="22">
        <v>3</v>
      </c>
      <c r="E33" s="23">
        <f>3770*C33</f>
        <v>1885</v>
      </c>
      <c r="F33" s="22"/>
      <c r="G33" s="23">
        <f t="shared" si="1"/>
        <v>1885</v>
      </c>
      <c r="H33" s="23"/>
      <c r="I33" s="23"/>
      <c r="J33" s="23"/>
      <c r="K33" s="23"/>
      <c r="L33" s="23"/>
      <c r="M33" s="23"/>
      <c r="N33" s="23"/>
      <c r="O33" s="23"/>
      <c r="P33" s="23">
        <f>8000*C33-G33</f>
        <v>2115</v>
      </c>
      <c r="Q33" s="23"/>
      <c r="R33" s="23">
        <f>G33+H33+I33+ J33+K33+L33+N33+O33+P33</f>
        <v>4000</v>
      </c>
      <c r="S33" s="25">
        <f t="shared" si="6"/>
        <v>36000</v>
      </c>
    </row>
    <row r="34" spans="1:19" ht="12.6" customHeight="1" x14ac:dyDescent="0.25">
      <c r="A34" s="20" t="s">
        <v>69</v>
      </c>
      <c r="B34" s="21" t="s">
        <v>70</v>
      </c>
      <c r="C34" s="22">
        <v>1</v>
      </c>
      <c r="D34" s="22">
        <v>2</v>
      </c>
      <c r="E34" s="23">
        <v>3483</v>
      </c>
      <c r="F34" s="22">
        <f>E34*0.2</f>
        <v>696.6</v>
      </c>
      <c r="G34" s="23">
        <f t="shared" si="1"/>
        <v>4179.6000000000004</v>
      </c>
      <c r="H34" s="23"/>
      <c r="I34" s="23"/>
      <c r="J34" s="23">
        <f>G34*4%</f>
        <v>167.18400000000003</v>
      </c>
      <c r="K34" s="23"/>
      <c r="L34" s="23"/>
      <c r="M34" s="23"/>
      <c r="N34" s="23"/>
      <c r="O34" s="23"/>
      <c r="P34" s="23">
        <f>8000-E34</f>
        <v>4517</v>
      </c>
      <c r="Q34" s="23"/>
      <c r="R34" s="23">
        <f>G34+J34+P34</f>
        <v>8863.7839999999997</v>
      </c>
      <c r="S34" s="25">
        <f t="shared" si="6"/>
        <v>79774.055999999997</v>
      </c>
    </row>
    <row r="35" spans="1:19" ht="18" customHeight="1" x14ac:dyDescent="0.25">
      <c r="A35" s="20" t="s">
        <v>71</v>
      </c>
      <c r="B35" s="21" t="s">
        <v>72</v>
      </c>
      <c r="C35" s="22">
        <v>1</v>
      </c>
      <c r="D35" s="22">
        <v>1</v>
      </c>
      <c r="E35" s="23">
        <v>3195</v>
      </c>
      <c r="F35" s="22"/>
      <c r="G35" s="23">
        <f t="shared" si="1"/>
        <v>3195</v>
      </c>
      <c r="H35" s="23"/>
      <c r="I35" s="23"/>
      <c r="J35" s="23"/>
      <c r="K35" s="23"/>
      <c r="L35" s="23"/>
      <c r="M35" s="23"/>
      <c r="N35" s="23"/>
      <c r="O35" s="23"/>
      <c r="P35" s="23">
        <f>8000-G35</f>
        <v>4805</v>
      </c>
      <c r="Q35" s="23"/>
      <c r="R35" s="23">
        <f t="shared" ref="R35" si="8">G35+H35+I35+ J35+K35+L35+N35+O35+P35</f>
        <v>8000</v>
      </c>
      <c r="S35" s="25">
        <f t="shared" si="6"/>
        <v>72000</v>
      </c>
    </row>
    <row r="36" spans="1:19" x14ac:dyDescent="0.25">
      <c r="A36" s="20" t="s">
        <v>73</v>
      </c>
      <c r="B36" s="21" t="s">
        <v>74</v>
      </c>
      <c r="C36" s="22">
        <v>1</v>
      </c>
      <c r="D36" s="22">
        <v>5</v>
      </c>
      <c r="E36" s="23">
        <v>4345</v>
      </c>
      <c r="F36" s="23"/>
      <c r="G36" s="23">
        <f>E36+F36</f>
        <v>4345</v>
      </c>
      <c r="H36" s="23"/>
      <c r="I36" s="23"/>
      <c r="J36" s="23"/>
      <c r="K36" s="23"/>
      <c r="L36" s="23"/>
      <c r="M36" s="23"/>
      <c r="N36" s="23"/>
      <c r="O36" s="23"/>
      <c r="P36" s="23">
        <f>8000-G36</f>
        <v>3655</v>
      </c>
      <c r="Q36" s="32"/>
      <c r="R36" s="23">
        <f>G36+P36</f>
        <v>8000</v>
      </c>
      <c r="S36" s="25">
        <f t="shared" si="6"/>
        <v>72000</v>
      </c>
    </row>
    <row r="37" spans="1:19" s="27" customFormat="1" ht="20.399999999999999" customHeight="1" thickBot="1" x14ac:dyDescent="0.3">
      <c r="A37" s="64"/>
      <c r="B37" s="47" t="s">
        <v>59</v>
      </c>
      <c r="C37" s="34">
        <f>SUM(C29:C36)</f>
        <v>8</v>
      </c>
      <c r="D37" s="34"/>
      <c r="E37" s="35">
        <f>SUM(E29:E36)</f>
        <v>29873</v>
      </c>
      <c r="F37" s="34">
        <f>SUM(F29:F36)</f>
        <v>696.6</v>
      </c>
      <c r="G37" s="35">
        <f>E37+F37</f>
        <v>30569.599999999999</v>
      </c>
      <c r="H37" s="35"/>
      <c r="I37" s="35">
        <f>SUM(I29:I35)</f>
        <v>0</v>
      </c>
      <c r="J37" s="35">
        <f>SUM(J29:J35)</f>
        <v>167.18400000000003</v>
      </c>
      <c r="K37" s="35"/>
      <c r="L37" s="35"/>
      <c r="M37" s="35"/>
      <c r="N37" s="35"/>
      <c r="O37" s="35"/>
      <c r="P37" s="35">
        <f>SUM(P29:P36)</f>
        <v>34127</v>
      </c>
      <c r="Q37" s="35"/>
      <c r="R37" s="35">
        <f>SUM(R29:R36)</f>
        <v>64863.784</v>
      </c>
      <c r="S37" s="36">
        <f>SUM(S29:S36)</f>
        <v>583774.05599999998</v>
      </c>
    </row>
    <row r="38" spans="1:19" ht="25.8" customHeight="1" x14ac:dyDescent="0.25">
      <c r="A38" s="18"/>
      <c r="B38" s="86" t="s">
        <v>75</v>
      </c>
      <c r="C38" s="85"/>
      <c r="D38" s="85"/>
      <c r="E38" s="85"/>
      <c r="F38" s="85"/>
      <c r="G38" s="94"/>
      <c r="H38" s="85" t="s">
        <v>76</v>
      </c>
      <c r="I38" s="95"/>
      <c r="J38" s="95"/>
      <c r="K38" s="85"/>
      <c r="L38" s="95"/>
      <c r="M38" s="95"/>
      <c r="N38" s="95"/>
      <c r="O38" s="95"/>
      <c r="P38" s="95"/>
      <c r="Q38" s="85"/>
      <c r="R38" s="85"/>
      <c r="S38" s="96"/>
    </row>
    <row r="39" spans="1:19" s="13" customFormat="1" x14ac:dyDescent="0.2">
      <c r="A39" s="28" t="s">
        <v>77</v>
      </c>
      <c r="B39" s="21" t="s">
        <v>78</v>
      </c>
      <c r="C39" s="22">
        <v>2.5</v>
      </c>
      <c r="D39" s="22">
        <v>2</v>
      </c>
      <c r="E39" s="23">
        <f>3483*C39</f>
        <v>8707.5</v>
      </c>
      <c r="F39" s="22"/>
      <c r="G39" s="23">
        <f t="shared" ref="G39:G40" si="9">E39+F39</f>
        <v>8707.5</v>
      </c>
      <c r="H39" s="23"/>
      <c r="I39" s="23"/>
      <c r="J39" s="23"/>
      <c r="K39" s="23"/>
      <c r="L39" s="23"/>
      <c r="M39" s="23"/>
      <c r="N39" s="23"/>
      <c r="O39" s="23"/>
      <c r="P39" s="23">
        <f>8000*C39-G39</f>
        <v>11292.5</v>
      </c>
      <c r="Q39" s="23"/>
      <c r="R39" s="23">
        <f t="shared" ref="R39" si="10">G39+H39+I39+ J39+K39+L39+N39+O39+P39</f>
        <v>20000</v>
      </c>
      <c r="S39" s="25">
        <f>R39*9</f>
        <v>180000</v>
      </c>
    </row>
    <row r="40" spans="1:19" s="37" customFormat="1" ht="16.8" customHeight="1" thickBot="1" x14ac:dyDescent="0.3">
      <c r="A40" s="33"/>
      <c r="B40" s="47" t="s">
        <v>59</v>
      </c>
      <c r="C40" s="34">
        <f>SUM(C39:C39)</f>
        <v>2.5</v>
      </c>
      <c r="D40" s="34"/>
      <c r="E40" s="35">
        <f>SUM(E39:E39)</f>
        <v>8707.5</v>
      </c>
      <c r="F40" s="34"/>
      <c r="G40" s="35">
        <f t="shared" si="9"/>
        <v>8707.5</v>
      </c>
      <c r="H40" s="35"/>
      <c r="I40" s="35"/>
      <c r="J40" s="35"/>
      <c r="K40" s="35"/>
      <c r="L40" s="35"/>
      <c r="M40" s="35"/>
      <c r="N40" s="35"/>
      <c r="O40" s="35"/>
      <c r="P40" s="35">
        <f>SUM(P39:P39)</f>
        <v>11292.5</v>
      </c>
      <c r="Q40" s="35"/>
      <c r="R40" s="35">
        <f>SUM(G40:Q40)</f>
        <v>20000</v>
      </c>
      <c r="S40" s="36">
        <f>SUM(S39:S39)</f>
        <v>180000</v>
      </c>
    </row>
    <row r="41" spans="1:19" s="38" customFormat="1" ht="26.4" customHeight="1" x14ac:dyDescent="0.25">
      <c r="A41" s="18"/>
      <c r="B41" s="86" t="s">
        <v>79</v>
      </c>
      <c r="C41" s="86"/>
      <c r="D41" s="86"/>
      <c r="E41" s="86"/>
      <c r="F41" s="86"/>
      <c r="G41" s="94"/>
      <c r="H41" s="86"/>
      <c r="I41" s="19"/>
      <c r="J41" s="19"/>
      <c r="K41" s="86"/>
      <c r="L41" s="19"/>
      <c r="M41" s="19"/>
      <c r="N41" s="19"/>
      <c r="O41" s="19"/>
      <c r="P41" s="19"/>
      <c r="Q41" s="86"/>
      <c r="R41" s="86"/>
      <c r="S41" s="87"/>
    </row>
    <row r="42" spans="1:19" s="38" customFormat="1" ht="16.95" customHeight="1" x14ac:dyDescent="0.25">
      <c r="A42" s="20" t="s">
        <v>80</v>
      </c>
      <c r="B42" s="21" t="s">
        <v>64</v>
      </c>
      <c r="C42" s="22">
        <v>0.5</v>
      </c>
      <c r="D42" s="22">
        <v>1</v>
      </c>
      <c r="E42" s="22">
        <v>1597.5</v>
      </c>
      <c r="F42" s="22"/>
      <c r="G42" s="22">
        <v>1597.5</v>
      </c>
      <c r="H42" s="22"/>
      <c r="I42" s="24"/>
      <c r="J42" s="24"/>
      <c r="K42" s="22"/>
      <c r="L42" s="24"/>
      <c r="M42" s="24"/>
      <c r="N42" s="24"/>
      <c r="O42" s="24"/>
      <c r="P42" s="23">
        <f>8000/2-G42</f>
        <v>2402.5</v>
      </c>
      <c r="Q42" s="22"/>
      <c r="R42" s="23">
        <f t="shared" ref="R42" si="11">G42+H42+I42+ J42+K42+L42+N42+O42+P42</f>
        <v>4000</v>
      </c>
      <c r="S42" s="25">
        <f>R42*9</f>
        <v>36000</v>
      </c>
    </row>
    <row r="43" spans="1:19" x14ac:dyDescent="0.25">
      <c r="A43" s="20" t="s">
        <v>81</v>
      </c>
      <c r="B43" s="21" t="s">
        <v>82</v>
      </c>
      <c r="C43" s="22">
        <v>2</v>
      </c>
      <c r="D43" s="22">
        <v>4</v>
      </c>
      <c r="E43" s="23">
        <f>4058*C43</f>
        <v>8116</v>
      </c>
      <c r="F43" s="22"/>
      <c r="G43" s="23">
        <f t="shared" ref="G43:G44" si="12">E43+F43</f>
        <v>8116</v>
      </c>
      <c r="H43" s="23"/>
      <c r="I43" s="23"/>
      <c r="J43" s="23">
        <f>G43*0.04</f>
        <v>324.64</v>
      </c>
      <c r="K43" s="23"/>
      <c r="L43" s="23"/>
      <c r="M43" s="23"/>
      <c r="N43" s="23"/>
      <c r="O43" s="23"/>
      <c r="P43" s="23">
        <f>8000*C43-G43</f>
        <v>7884</v>
      </c>
      <c r="Q43" s="23"/>
      <c r="R43" s="23">
        <f>SUM(G43:P43)</f>
        <v>16324.64</v>
      </c>
      <c r="S43" s="25">
        <f t="shared" ref="S43:S44" si="13">R43*9</f>
        <v>146921.76</v>
      </c>
    </row>
    <row r="44" spans="1:19" x14ac:dyDescent="0.25">
      <c r="A44" s="20" t="s">
        <v>83</v>
      </c>
      <c r="B44" s="21" t="s">
        <v>84</v>
      </c>
      <c r="C44" s="22">
        <v>2</v>
      </c>
      <c r="D44" s="22">
        <v>1</v>
      </c>
      <c r="E44" s="23">
        <f>3195*C44</f>
        <v>6390</v>
      </c>
      <c r="F44" s="22"/>
      <c r="G44" s="23">
        <f t="shared" si="12"/>
        <v>6390</v>
      </c>
      <c r="H44" s="23"/>
      <c r="I44" s="23">
        <f>G44*0.1</f>
        <v>639</v>
      </c>
      <c r="J44" s="23"/>
      <c r="K44" s="23"/>
      <c r="L44" s="23"/>
      <c r="M44" s="23"/>
      <c r="N44" s="23"/>
      <c r="O44" s="23"/>
      <c r="P44" s="23">
        <f>8000*C44-G44</f>
        <v>9610</v>
      </c>
      <c r="Q44" s="23"/>
      <c r="R44" s="23">
        <f>SUM(G44:P44)</f>
        <v>16639</v>
      </c>
      <c r="S44" s="25">
        <f t="shared" si="13"/>
        <v>149751</v>
      </c>
    </row>
    <row r="45" spans="1:19" s="37" customFormat="1" ht="18" customHeight="1" thickBot="1" x14ac:dyDescent="0.3">
      <c r="A45" s="33"/>
      <c r="B45" s="47" t="s">
        <v>59</v>
      </c>
      <c r="C45" s="34">
        <f>SUM(C42:C44)</f>
        <v>4.5</v>
      </c>
      <c r="D45" s="34"/>
      <c r="E45" s="35">
        <f>SUM(E42:E44)</f>
        <v>16103.5</v>
      </c>
      <c r="F45" s="34"/>
      <c r="G45" s="35">
        <f>SUM(G42:G44)</f>
        <v>16103.5</v>
      </c>
      <c r="H45" s="35"/>
      <c r="I45" s="35">
        <f>SUM(I44:I44)</f>
        <v>639</v>
      </c>
      <c r="J45" s="35">
        <f>SUM(J43:J44)</f>
        <v>324.64</v>
      </c>
      <c r="K45" s="35"/>
      <c r="L45" s="35"/>
      <c r="M45" s="35"/>
      <c r="N45" s="35"/>
      <c r="O45" s="35"/>
      <c r="P45" s="35">
        <f>SUM(P42:P44)</f>
        <v>19896.5</v>
      </c>
      <c r="Q45" s="35"/>
      <c r="R45" s="35">
        <f>SUM(R42:R44)</f>
        <v>36963.64</v>
      </c>
      <c r="S45" s="36">
        <f>SUM(S42:S44)</f>
        <v>332672.76</v>
      </c>
    </row>
    <row r="46" spans="1:19" s="39" customFormat="1" ht="22.8" customHeight="1" x14ac:dyDescent="0.25">
      <c r="A46" s="98" t="s">
        <v>316</v>
      </c>
      <c r="B46" s="99" t="s">
        <v>85</v>
      </c>
      <c r="C46" s="100"/>
      <c r="D46" s="100"/>
      <c r="E46" s="101"/>
      <c r="F46" s="100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2"/>
    </row>
    <row r="47" spans="1:19" s="42" customFormat="1" x14ac:dyDescent="0.25">
      <c r="A47" s="43" t="s">
        <v>86</v>
      </c>
      <c r="B47" s="21" t="s">
        <v>87</v>
      </c>
      <c r="C47" s="22">
        <v>0.5</v>
      </c>
      <c r="D47" s="22">
        <v>10</v>
      </c>
      <c r="E47" s="23">
        <f>5815*C47</f>
        <v>2907.5</v>
      </c>
      <c r="F47" s="22"/>
      <c r="G47" s="23">
        <f>E47</f>
        <v>2907.5</v>
      </c>
      <c r="H47" s="23"/>
      <c r="I47" s="23"/>
      <c r="J47" s="40"/>
      <c r="K47" s="23">
        <f>G47*0.3</f>
        <v>872.25</v>
      </c>
      <c r="L47" s="41">
        <f>20000*C47-G47-K47</f>
        <v>6220.25</v>
      </c>
      <c r="M47" s="23"/>
      <c r="N47" s="23"/>
      <c r="O47" s="23"/>
      <c r="P47" s="23"/>
      <c r="Q47" s="23"/>
      <c r="R47" s="23">
        <f>G47+K47+L47</f>
        <v>10000</v>
      </c>
      <c r="S47" s="25">
        <f>R47*9</f>
        <v>90000</v>
      </c>
    </row>
    <row r="48" spans="1:19" s="42" customFormat="1" x14ac:dyDescent="0.25">
      <c r="A48" s="43" t="s">
        <v>88</v>
      </c>
      <c r="B48" s="21" t="s">
        <v>89</v>
      </c>
      <c r="C48" s="22">
        <v>3</v>
      </c>
      <c r="D48" s="22">
        <v>9</v>
      </c>
      <c r="E48" s="23">
        <f>5527*C48</f>
        <v>16581</v>
      </c>
      <c r="F48" s="22"/>
      <c r="G48" s="23">
        <f>E48</f>
        <v>16581</v>
      </c>
      <c r="H48" s="23"/>
      <c r="I48" s="23"/>
      <c r="J48" s="40"/>
      <c r="K48" s="23"/>
      <c r="L48" s="41">
        <f>15000*C48-G48-K48</f>
        <v>28419</v>
      </c>
      <c r="M48" s="23"/>
      <c r="N48" s="23"/>
      <c r="O48" s="23"/>
      <c r="P48" s="23"/>
      <c r="Q48" s="23"/>
      <c r="R48" s="23">
        <f>G48+K48+L48</f>
        <v>45000</v>
      </c>
      <c r="S48" s="25">
        <f t="shared" ref="S48:S52" si="14">R48*9</f>
        <v>405000</v>
      </c>
    </row>
    <row r="49" spans="1:20" s="42" customFormat="1" x14ac:dyDescent="0.25">
      <c r="A49" s="43" t="s">
        <v>90</v>
      </c>
      <c r="B49" s="21" t="s">
        <v>91</v>
      </c>
      <c r="C49" s="22">
        <v>1</v>
      </c>
      <c r="D49" s="22">
        <v>10</v>
      </c>
      <c r="E49" s="23">
        <v>5815</v>
      </c>
      <c r="F49" s="22"/>
      <c r="G49" s="23">
        <v>5815</v>
      </c>
      <c r="H49" s="23"/>
      <c r="I49" s="23"/>
      <c r="J49" s="40"/>
      <c r="K49" s="23">
        <f>G49*0.3</f>
        <v>1744.5</v>
      </c>
      <c r="L49" s="41">
        <f>13500-G49-K49</f>
        <v>5940.5</v>
      </c>
      <c r="M49" s="23"/>
      <c r="N49" s="23"/>
      <c r="O49" s="23"/>
      <c r="P49" s="23"/>
      <c r="Q49" s="23"/>
      <c r="R49" s="23">
        <f>G49+K49+L49</f>
        <v>13500</v>
      </c>
      <c r="S49" s="25">
        <f t="shared" si="14"/>
        <v>121500</v>
      </c>
    </row>
    <row r="50" spans="1:20" s="42" customFormat="1" x14ac:dyDescent="0.25">
      <c r="A50" s="43" t="s">
        <v>92</v>
      </c>
      <c r="B50" s="21" t="s">
        <v>93</v>
      </c>
      <c r="C50" s="22">
        <v>1</v>
      </c>
      <c r="D50" s="22">
        <v>4</v>
      </c>
      <c r="E50" s="23">
        <v>4058</v>
      </c>
      <c r="F50" s="22"/>
      <c r="G50" s="23">
        <v>4058</v>
      </c>
      <c r="H50" s="23"/>
      <c r="I50" s="23"/>
      <c r="J50" s="40"/>
      <c r="K50" s="23"/>
      <c r="L50" s="23"/>
      <c r="M50" s="23"/>
      <c r="N50" s="23"/>
      <c r="O50" s="23">
        <f>G50*200%</f>
        <v>8116</v>
      </c>
      <c r="P50" s="23"/>
      <c r="Q50" s="23"/>
      <c r="R50" s="23">
        <f>O50+G50</f>
        <v>12174</v>
      </c>
      <c r="S50" s="25">
        <f t="shared" si="14"/>
        <v>109566</v>
      </c>
    </row>
    <row r="51" spans="1:20" s="42" customFormat="1" x14ac:dyDescent="0.25">
      <c r="A51" s="43" t="s">
        <v>94</v>
      </c>
      <c r="B51" s="21" t="s">
        <v>95</v>
      </c>
      <c r="C51" s="22">
        <v>1</v>
      </c>
      <c r="D51" s="22">
        <v>5</v>
      </c>
      <c r="E51" s="23">
        <v>4345</v>
      </c>
      <c r="F51" s="23"/>
      <c r="G51" s="23">
        <f>E51+F51</f>
        <v>4345</v>
      </c>
      <c r="H51" s="23"/>
      <c r="I51" s="23"/>
      <c r="J51" s="23"/>
      <c r="K51" s="23"/>
      <c r="L51" s="23"/>
      <c r="M51" s="23"/>
      <c r="N51" s="23"/>
      <c r="O51" s="23"/>
      <c r="P51" s="23">
        <f>8000-G51</f>
        <v>3655</v>
      </c>
      <c r="Q51" s="32"/>
      <c r="R51" s="23">
        <f>G51+P51</f>
        <v>8000</v>
      </c>
      <c r="S51" s="25">
        <f t="shared" si="14"/>
        <v>72000</v>
      </c>
    </row>
    <row r="52" spans="1:20" x14ac:dyDescent="0.25">
      <c r="A52" s="43" t="s">
        <v>96</v>
      </c>
      <c r="B52" s="21" t="s">
        <v>97</v>
      </c>
      <c r="C52" s="22">
        <v>0.5</v>
      </c>
      <c r="D52" s="22">
        <v>9</v>
      </c>
      <c r="E52" s="23">
        <v>2763.5</v>
      </c>
      <c r="F52" s="22"/>
      <c r="G52" s="23">
        <f t="shared" ref="G52" si="15">E52+F52</f>
        <v>2763.5</v>
      </c>
      <c r="H52" s="23"/>
      <c r="I52" s="23"/>
      <c r="J52" s="23"/>
      <c r="K52" s="23">
        <f>G52*0.3</f>
        <v>829.05</v>
      </c>
      <c r="L52" s="23">
        <f>6750-G52-K52</f>
        <v>3157.45</v>
      </c>
      <c r="M52" s="23"/>
      <c r="N52" s="23"/>
      <c r="O52" s="23"/>
      <c r="P52" s="23"/>
      <c r="Q52" s="23"/>
      <c r="R52" s="23">
        <f>L52+K52+G52</f>
        <v>6750</v>
      </c>
      <c r="S52" s="25">
        <f t="shared" si="14"/>
        <v>60750</v>
      </c>
    </row>
    <row r="53" spans="1:20" s="45" customFormat="1" ht="13.8" customHeight="1" thickBot="1" x14ac:dyDescent="0.25">
      <c r="A53" s="103"/>
      <c r="B53" s="104" t="s">
        <v>59</v>
      </c>
      <c r="C53" s="105">
        <f>SUM(C47:C52)</f>
        <v>7</v>
      </c>
      <c r="D53" s="105"/>
      <c r="E53" s="106">
        <f>SUM(E47:E52)</f>
        <v>36470</v>
      </c>
      <c r="F53" s="105"/>
      <c r="G53" s="106">
        <f>SUM(G47:G52)</f>
        <v>36470</v>
      </c>
      <c r="H53" s="106"/>
      <c r="I53" s="106"/>
      <c r="J53" s="106"/>
      <c r="K53" s="106">
        <f>SUM(K47:K52)</f>
        <v>3445.8</v>
      </c>
      <c r="L53" s="106">
        <f>SUM(L47:L52)</f>
        <v>43737.2</v>
      </c>
      <c r="M53" s="106"/>
      <c r="N53" s="106"/>
      <c r="O53" s="106">
        <f>SUM(O47:O51)</f>
        <v>8116</v>
      </c>
      <c r="P53" s="106">
        <f>SUM(P47:P52)</f>
        <v>3655</v>
      </c>
      <c r="Q53" s="106"/>
      <c r="R53" s="106">
        <f>SUM(R47:R52)</f>
        <v>95424</v>
      </c>
      <c r="S53" s="107">
        <f>SUM(S47:S52)</f>
        <v>858816</v>
      </c>
    </row>
    <row r="54" spans="1:20" s="38" customFormat="1" ht="22.8" customHeight="1" x14ac:dyDescent="0.25">
      <c r="A54" s="108"/>
      <c r="B54" s="86" t="s">
        <v>98</v>
      </c>
      <c r="C54" s="85"/>
      <c r="D54" s="85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109"/>
      <c r="R54" s="94"/>
      <c r="S54" s="110"/>
      <c r="T54" s="46"/>
    </row>
    <row r="55" spans="1:20" s="38" customFormat="1" x14ac:dyDescent="0.25">
      <c r="A55" s="43" t="s">
        <v>99</v>
      </c>
      <c r="B55" s="21" t="s">
        <v>100</v>
      </c>
      <c r="C55" s="22">
        <v>0.25</v>
      </c>
      <c r="D55" s="22">
        <v>14</v>
      </c>
      <c r="E55" s="23">
        <f>7732*C55</f>
        <v>1933</v>
      </c>
      <c r="F55" s="23">
        <f>E55*10%</f>
        <v>193.3</v>
      </c>
      <c r="G55" s="23">
        <f>E55+F55</f>
        <v>2126.3000000000002</v>
      </c>
      <c r="H55" s="23"/>
      <c r="I55" s="23"/>
      <c r="J55" s="23"/>
      <c r="K55" s="23">
        <f>G55*0.3</f>
        <v>637.89</v>
      </c>
      <c r="L55" s="23">
        <f>20000*C55-G55-K55</f>
        <v>2235.81</v>
      </c>
      <c r="M55" s="23"/>
      <c r="N55" s="23"/>
      <c r="O55" s="23"/>
      <c r="P55" s="23"/>
      <c r="Q55" s="32"/>
      <c r="R55" s="23">
        <f>G55+K55+L55</f>
        <v>5000</v>
      </c>
      <c r="S55" s="25">
        <f>R55*9</f>
        <v>45000</v>
      </c>
      <c r="T55" s="46"/>
    </row>
    <row r="56" spans="1:20" s="38" customFormat="1" x14ac:dyDescent="0.25">
      <c r="A56" s="43" t="s">
        <v>101</v>
      </c>
      <c r="B56" s="21" t="s">
        <v>102</v>
      </c>
      <c r="C56" s="22">
        <v>0.5</v>
      </c>
      <c r="D56" s="22">
        <v>13</v>
      </c>
      <c r="E56" s="23">
        <v>3626</v>
      </c>
      <c r="F56" s="23">
        <f>E56*0.15</f>
        <v>543.9</v>
      </c>
      <c r="G56" s="23">
        <f>E56+F56</f>
        <v>4169.8999999999996</v>
      </c>
      <c r="H56" s="23"/>
      <c r="I56" s="23"/>
      <c r="J56" s="23"/>
      <c r="K56" s="23">
        <f>G56*0.3</f>
        <v>1250.9699999999998</v>
      </c>
      <c r="L56" s="23">
        <f>20000*C56-G56-K56</f>
        <v>4579.130000000001</v>
      </c>
      <c r="M56" s="23"/>
      <c r="N56" s="23"/>
      <c r="O56" s="23"/>
      <c r="P56" s="23"/>
      <c r="Q56" s="32"/>
      <c r="R56" s="23">
        <f>G56+K56+L56</f>
        <v>10000</v>
      </c>
      <c r="S56" s="25">
        <f t="shared" ref="S56:S58" si="16">R56*9</f>
        <v>90000</v>
      </c>
      <c r="T56" s="46"/>
    </row>
    <row r="57" spans="1:20" s="38" customFormat="1" x14ac:dyDescent="0.25">
      <c r="A57" s="43" t="s">
        <v>103</v>
      </c>
      <c r="B57" s="21" t="s">
        <v>104</v>
      </c>
      <c r="C57" s="22">
        <v>0.5</v>
      </c>
      <c r="D57" s="22">
        <v>13</v>
      </c>
      <c r="E57" s="23">
        <v>3626</v>
      </c>
      <c r="F57" s="23">
        <f>E57*0.15</f>
        <v>543.9</v>
      </c>
      <c r="G57" s="23">
        <f>E57+F57</f>
        <v>4169.8999999999996</v>
      </c>
      <c r="H57" s="23"/>
      <c r="I57" s="23"/>
      <c r="J57" s="23"/>
      <c r="K57" s="23">
        <f>G57*0.3</f>
        <v>1250.9699999999998</v>
      </c>
      <c r="L57" s="23">
        <f>10000-G57-K57</f>
        <v>4579.130000000001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si="16"/>
        <v>90000</v>
      </c>
      <c r="T57" s="46"/>
    </row>
    <row r="58" spans="1:20" s="38" customFormat="1" x14ac:dyDescent="0.25">
      <c r="A58" s="43" t="s">
        <v>105</v>
      </c>
      <c r="B58" s="21" t="s">
        <v>106</v>
      </c>
      <c r="C58" s="22">
        <v>1</v>
      </c>
      <c r="D58" s="22">
        <v>5</v>
      </c>
      <c r="E58" s="23">
        <v>4345</v>
      </c>
      <c r="F58" s="23"/>
      <c r="G58" s="23">
        <f>E58+F58</f>
        <v>4345</v>
      </c>
      <c r="H58" s="23"/>
      <c r="I58" s="23"/>
      <c r="J58" s="23"/>
      <c r="K58" s="23"/>
      <c r="L58" s="23"/>
      <c r="M58" s="23"/>
      <c r="N58" s="23"/>
      <c r="O58" s="23"/>
      <c r="P58" s="23">
        <f>8000-G58</f>
        <v>3655</v>
      </c>
      <c r="Q58" s="32"/>
      <c r="R58" s="23">
        <f>G58+P58</f>
        <v>8000</v>
      </c>
      <c r="S58" s="25">
        <f t="shared" si="16"/>
        <v>72000</v>
      </c>
      <c r="T58" s="46"/>
    </row>
    <row r="59" spans="1:20" s="49" customFormat="1" ht="20.399999999999999" customHeight="1" thickBot="1" x14ac:dyDescent="0.3">
      <c r="A59" s="64"/>
      <c r="B59" s="47" t="s">
        <v>59</v>
      </c>
      <c r="C59" s="34">
        <v>2.25</v>
      </c>
      <c r="D59" s="34"/>
      <c r="E59" s="35">
        <f>SUM(E55:E58)</f>
        <v>13530</v>
      </c>
      <c r="F59" s="35">
        <f t="shared" ref="F59" si="17">SUM(F55:F58)</f>
        <v>1281.0999999999999</v>
      </c>
      <c r="G59" s="35">
        <f>SUM(G55:G58)</f>
        <v>14811.099999999999</v>
      </c>
      <c r="H59" s="35"/>
      <c r="I59" s="35"/>
      <c r="J59" s="35"/>
      <c r="K59" s="35">
        <f t="shared" ref="K59:L59" si="18">SUM(K55:K58)</f>
        <v>3139.8299999999995</v>
      </c>
      <c r="L59" s="35">
        <f t="shared" si="18"/>
        <v>11394.070000000002</v>
      </c>
      <c r="M59" s="35"/>
      <c r="N59" s="35"/>
      <c r="O59" s="35"/>
      <c r="P59" s="35">
        <f t="shared" ref="P59:Q59" si="19">SUM(P55:P58)</f>
        <v>3655</v>
      </c>
      <c r="Q59" s="35">
        <f t="shared" si="19"/>
        <v>0</v>
      </c>
      <c r="R59" s="35">
        <f>SUM(G59:Q59)</f>
        <v>33000</v>
      </c>
      <c r="S59" s="36">
        <f>SUM(S55:S58)</f>
        <v>297000</v>
      </c>
      <c r="T59" s="48"/>
    </row>
    <row r="60" spans="1:20" ht="24" customHeight="1" x14ac:dyDescent="0.25">
      <c r="A60" s="18"/>
      <c r="B60" s="86" t="s">
        <v>107</v>
      </c>
      <c r="C60" s="86"/>
      <c r="D60" s="86"/>
      <c r="E60" s="92"/>
      <c r="F60" s="86"/>
      <c r="G60" s="94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3"/>
    </row>
    <row r="61" spans="1:20" s="13" customFormat="1" ht="38.4" customHeight="1" x14ac:dyDescent="0.2">
      <c r="A61" s="28"/>
      <c r="B61" s="29" t="s">
        <v>108</v>
      </c>
      <c r="C61" s="22"/>
      <c r="D61" s="22"/>
      <c r="E61" s="23"/>
      <c r="F61" s="22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5"/>
    </row>
    <row r="62" spans="1:20" ht="13.95" customHeight="1" x14ac:dyDescent="0.25">
      <c r="A62" s="20" t="s">
        <v>109</v>
      </c>
      <c r="B62" s="21" t="s">
        <v>110</v>
      </c>
      <c r="C62" s="22">
        <v>1</v>
      </c>
      <c r="D62" s="22">
        <v>11</v>
      </c>
      <c r="E62" s="23">
        <v>6294</v>
      </c>
      <c r="F62" s="22">
        <f>E62*0.25</f>
        <v>1573.5</v>
      </c>
      <c r="G62" s="23">
        <f t="shared" ref="G62:G124" si="20">E62+F62</f>
        <v>7867.5</v>
      </c>
      <c r="H62" s="23"/>
      <c r="I62" s="23"/>
      <c r="J62" s="23"/>
      <c r="K62" s="23">
        <f>G62*0.3</f>
        <v>2360.25</v>
      </c>
      <c r="L62" s="41">
        <f>20000-G62-K62</f>
        <v>9772.25</v>
      </c>
      <c r="M62" s="23"/>
      <c r="N62" s="23"/>
      <c r="O62" s="23"/>
      <c r="P62" s="23"/>
      <c r="Q62" s="23"/>
      <c r="R62" s="23">
        <f t="shared" ref="R62:R74" si="21">G62+K62+L62</f>
        <v>20000</v>
      </c>
      <c r="S62" s="25">
        <f>R62*9</f>
        <v>180000</v>
      </c>
    </row>
    <row r="63" spans="1:20" x14ac:dyDescent="0.25">
      <c r="A63" s="20" t="s">
        <v>111</v>
      </c>
      <c r="B63" s="21" t="s">
        <v>112</v>
      </c>
      <c r="C63" s="22">
        <v>1.25</v>
      </c>
      <c r="D63" s="22">
        <v>12</v>
      </c>
      <c r="E63" s="23">
        <f>6773*C63</f>
        <v>8466.25</v>
      </c>
      <c r="F63" s="22"/>
      <c r="G63" s="23">
        <f t="shared" si="20"/>
        <v>8466.25</v>
      </c>
      <c r="H63" s="23"/>
      <c r="I63" s="23"/>
      <c r="J63" s="23"/>
      <c r="K63" s="23">
        <f t="shared" ref="K63:K76" si="22">G63*0.3</f>
        <v>2539.875</v>
      </c>
      <c r="L63" s="23">
        <f>20000*C63-G63-K63</f>
        <v>13993.875</v>
      </c>
      <c r="M63" s="23"/>
      <c r="N63" s="23"/>
      <c r="O63" s="23"/>
      <c r="P63" s="23"/>
      <c r="Q63" s="23"/>
      <c r="R63" s="23">
        <f t="shared" si="21"/>
        <v>25000</v>
      </c>
      <c r="S63" s="25">
        <f t="shared" ref="S63:S79" si="23">R63*9</f>
        <v>225000</v>
      </c>
    </row>
    <row r="64" spans="1:20" x14ac:dyDescent="0.25">
      <c r="A64" s="20" t="s">
        <v>113</v>
      </c>
      <c r="B64" s="21" t="s">
        <v>114</v>
      </c>
      <c r="C64" s="22">
        <v>1</v>
      </c>
      <c r="D64" s="22">
        <v>14</v>
      </c>
      <c r="E64" s="23">
        <v>7732</v>
      </c>
      <c r="F64" s="22"/>
      <c r="G64" s="23">
        <f t="shared" si="20"/>
        <v>7732</v>
      </c>
      <c r="H64" s="23"/>
      <c r="I64" s="23"/>
      <c r="J64" s="23"/>
      <c r="K64" s="23">
        <f t="shared" si="22"/>
        <v>2319.6</v>
      </c>
      <c r="L64" s="41">
        <f>20000-G64-K64</f>
        <v>9948.4</v>
      </c>
      <c r="M64" s="23"/>
      <c r="N64" s="23"/>
      <c r="O64" s="23"/>
      <c r="P64" s="23"/>
      <c r="Q64" s="23"/>
      <c r="R64" s="23">
        <f t="shared" si="21"/>
        <v>20000</v>
      </c>
      <c r="S64" s="25">
        <f t="shared" si="23"/>
        <v>180000</v>
      </c>
    </row>
    <row r="65" spans="1:20" x14ac:dyDescent="0.25">
      <c r="A65" s="20" t="s">
        <v>115</v>
      </c>
      <c r="B65" s="21" t="s">
        <v>116</v>
      </c>
      <c r="C65" s="22">
        <v>0.5</v>
      </c>
      <c r="D65" s="22">
        <v>14</v>
      </c>
      <c r="E65" s="23">
        <v>3868</v>
      </c>
      <c r="F65" s="22"/>
      <c r="G65" s="23">
        <f t="shared" si="20"/>
        <v>3868</v>
      </c>
      <c r="H65" s="23"/>
      <c r="I65" s="23"/>
      <c r="J65" s="23"/>
      <c r="K65" s="23">
        <f t="shared" si="22"/>
        <v>1160.3999999999999</v>
      </c>
      <c r="L65" s="41">
        <f>20000/2-G65-K65</f>
        <v>4971.6000000000004</v>
      </c>
      <c r="M65" s="23"/>
      <c r="N65" s="23"/>
      <c r="O65" s="23"/>
      <c r="P65" s="23"/>
      <c r="Q65" s="23"/>
      <c r="R65" s="23">
        <f t="shared" si="21"/>
        <v>10000</v>
      </c>
      <c r="S65" s="25">
        <f t="shared" si="23"/>
        <v>90000</v>
      </c>
    </row>
    <row r="66" spans="1:20" x14ac:dyDescent="0.25">
      <c r="A66" s="20" t="s">
        <v>117</v>
      </c>
      <c r="B66" s="21" t="s">
        <v>118</v>
      </c>
      <c r="C66" s="22">
        <v>0.25</v>
      </c>
      <c r="D66" s="22">
        <v>14</v>
      </c>
      <c r="E66" s="23">
        <f>7732*C66</f>
        <v>1933</v>
      </c>
      <c r="F66" s="22"/>
      <c r="G66" s="23">
        <f t="shared" si="20"/>
        <v>1933</v>
      </c>
      <c r="H66" s="23"/>
      <c r="I66" s="23"/>
      <c r="J66" s="23"/>
      <c r="K66" s="23">
        <f t="shared" si="22"/>
        <v>579.9</v>
      </c>
      <c r="L66" s="41">
        <f>20000*C66-G66-K66</f>
        <v>2487.1</v>
      </c>
      <c r="M66" s="23"/>
      <c r="N66" s="23"/>
      <c r="O66" s="23"/>
      <c r="P66" s="23"/>
      <c r="Q66" s="23"/>
      <c r="R66" s="23">
        <f t="shared" si="21"/>
        <v>5000</v>
      </c>
      <c r="S66" s="25">
        <f t="shared" si="23"/>
        <v>45000</v>
      </c>
    </row>
    <row r="67" spans="1:20" x14ac:dyDescent="0.25">
      <c r="A67" s="20" t="s">
        <v>119</v>
      </c>
      <c r="B67" s="21" t="s">
        <v>120</v>
      </c>
      <c r="C67" s="22">
        <v>2.5</v>
      </c>
      <c r="D67" s="22">
        <v>13</v>
      </c>
      <c r="E67" s="23">
        <f>7253*C67</f>
        <v>18132.5</v>
      </c>
      <c r="F67" s="22"/>
      <c r="G67" s="23">
        <f t="shared" si="20"/>
        <v>18132.5</v>
      </c>
      <c r="H67" s="23"/>
      <c r="I67" s="23"/>
      <c r="J67" s="23"/>
      <c r="K67" s="23">
        <f t="shared" si="22"/>
        <v>5439.75</v>
      </c>
      <c r="L67" s="41">
        <f t="shared" ref="L67:L72" si="24">20000*C67-G67-K67-N67</f>
        <v>24229.85</v>
      </c>
      <c r="M67" s="23"/>
      <c r="N67" s="23">
        <f>879.16*C67</f>
        <v>2197.9</v>
      </c>
      <c r="O67" s="23"/>
      <c r="P67" s="23"/>
      <c r="Q67" s="23"/>
      <c r="R67" s="23">
        <f t="shared" ref="R67:R72" si="25">G67+K67+L67+N67</f>
        <v>50000</v>
      </c>
      <c r="S67" s="25">
        <f t="shared" si="23"/>
        <v>450000</v>
      </c>
    </row>
    <row r="68" spans="1:20" x14ac:dyDescent="0.25">
      <c r="A68" s="20" t="s">
        <v>119</v>
      </c>
      <c r="B68" s="21" t="s">
        <v>121</v>
      </c>
      <c r="C68" s="22">
        <v>0.5</v>
      </c>
      <c r="D68" s="22">
        <v>14</v>
      </c>
      <c r="E68" s="23">
        <f>7732*C68</f>
        <v>3866</v>
      </c>
      <c r="F68" s="22"/>
      <c r="G68" s="23">
        <f t="shared" si="20"/>
        <v>3866</v>
      </c>
      <c r="H68" s="23"/>
      <c r="I68" s="23"/>
      <c r="J68" s="23"/>
      <c r="K68" s="23">
        <f t="shared" si="22"/>
        <v>1159.8</v>
      </c>
      <c r="L68" s="41">
        <f t="shared" si="24"/>
        <v>4505.5999999999995</v>
      </c>
      <c r="M68" s="23"/>
      <c r="N68" s="23">
        <v>468.6</v>
      </c>
      <c r="O68" s="23"/>
      <c r="P68" s="23"/>
      <c r="Q68" s="23"/>
      <c r="R68" s="23">
        <f t="shared" si="25"/>
        <v>10000</v>
      </c>
      <c r="S68" s="25">
        <f t="shared" si="23"/>
        <v>90000</v>
      </c>
    </row>
    <row r="69" spans="1:20" x14ac:dyDescent="0.25">
      <c r="A69" s="20" t="s">
        <v>119</v>
      </c>
      <c r="B69" s="21" t="s">
        <v>122</v>
      </c>
      <c r="C69" s="22">
        <v>0.25</v>
      </c>
      <c r="D69" s="22">
        <v>14</v>
      </c>
      <c r="E69" s="23">
        <f>7732*C69</f>
        <v>1933</v>
      </c>
      <c r="F69" s="22"/>
      <c r="G69" s="23">
        <f t="shared" si="20"/>
        <v>1933</v>
      </c>
      <c r="H69" s="23"/>
      <c r="I69" s="23"/>
      <c r="J69" s="23"/>
      <c r="K69" s="23">
        <f t="shared" si="22"/>
        <v>579.9</v>
      </c>
      <c r="L69" s="41">
        <f t="shared" si="24"/>
        <v>2252.7999999999997</v>
      </c>
      <c r="M69" s="23"/>
      <c r="N69" s="23">
        <v>234.3</v>
      </c>
      <c r="O69" s="23"/>
      <c r="P69" s="23"/>
      <c r="Q69" s="23"/>
      <c r="R69" s="23">
        <f t="shared" si="25"/>
        <v>5000</v>
      </c>
      <c r="S69" s="25">
        <f t="shared" si="23"/>
        <v>45000</v>
      </c>
    </row>
    <row r="70" spans="1:20" x14ac:dyDescent="0.25">
      <c r="A70" s="20" t="s">
        <v>119</v>
      </c>
      <c r="B70" s="21" t="s">
        <v>123</v>
      </c>
      <c r="C70" s="22">
        <v>0.5</v>
      </c>
      <c r="D70" s="22">
        <v>14</v>
      </c>
      <c r="E70" s="23">
        <f>7732*C70</f>
        <v>3866</v>
      </c>
      <c r="F70" s="22"/>
      <c r="G70" s="23">
        <f t="shared" si="20"/>
        <v>3866</v>
      </c>
      <c r="H70" s="23"/>
      <c r="I70" s="23"/>
      <c r="J70" s="23"/>
      <c r="K70" s="23">
        <f t="shared" si="22"/>
        <v>1159.8</v>
      </c>
      <c r="L70" s="41">
        <f t="shared" si="24"/>
        <v>4739.8999999999996</v>
      </c>
      <c r="M70" s="23"/>
      <c r="N70" s="23">
        <v>234.3</v>
      </c>
      <c r="O70" s="23"/>
      <c r="P70" s="23"/>
      <c r="Q70" s="23"/>
      <c r="R70" s="23">
        <f t="shared" si="25"/>
        <v>10000</v>
      </c>
      <c r="S70" s="25">
        <f t="shared" si="23"/>
        <v>90000</v>
      </c>
    </row>
    <row r="71" spans="1:20" x14ac:dyDescent="0.25">
      <c r="A71" s="20" t="s">
        <v>119</v>
      </c>
      <c r="B71" s="21" t="s">
        <v>124</v>
      </c>
      <c r="C71" s="22">
        <v>1</v>
      </c>
      <c r="D71" s="22">
        <v>14</v>
      </c>
      <c r="E71" s="23">
        <f>7732*C71</f>
        <v>7732</v>
      </c>
      <c r="F71" s="22"/>
      <c r="G71" s="23">
        <f t="shared" si="20"/>
        <v>7732</v>
      </c>
      <c r="H71" s="23"/>
      <c r="I71" s="23"/>
      <c r="J71" s="23"/>
      <c r="K71" s="23">
        <f t="shared" si="22"/>
        <v>2319.6</v>
      </c>
      <c r="L71" s="41">
        <f t="shared" si="24"/>
        <v>9011.1999999999989</v>
      </c>
      <c r="M71" s="23"/>
      <c r="N71" s="23">
        <v>937.2</v>
      </c>
      <c r="O71" s="23"/>
      <c r="P71" s="23"/>
      <c r="Q71" s="23"/>
      <c r="R71" s="23">
        <f t="shared" si="25"/>
        <v>20000</v>
      </c>
      <c r="S71" s="25">
        <f t="shared" si="23"/>
        <v>180000</v>
      </c>
    </row>
    <row r="72" spans="1:20" x14ac:dyDescent="0.25">
      <c r="A72" s="20" t="s">
        <v>119</v>
      </c>
      <c r="B72" s="21" t="s">
        <v>125</v>
      </c>
      <c r="C72" s="22">
        <v>0.5</v>
      </c>
      <c r="D72" s="22">
        <v>13</v>
      </c>
      <c r="E72" s="23">
        <f>7253*C72</f>
        <v>3626.5</v>
      </c>
      <c r="F72" s="22"/>
      <c r="G72" s="23">
        <f t="shared" si="20"/>
        <v>3626.5</v>
      </c>
      <c r="H72" s="23"/>
      <c r="I72" s="23"/>
      <c r="J72" s="23"/>
      <c r="K72" s="23">
        <f t="shared" si="22"/>
        <v>1087.95</v>
      </c>
      <c r="L72" s="41">
        <f t="shared" si="24"/>
        <v>4845.97</v>
      </c>
      <c r="M72" s="23"/>
      <c r="N72" s="23">
        <f>879.16*C72</f>
        <v>439.58</v>
      </c>
      <c r="O72" s="23"/>
      <c r="P72" s="23"/>
      <c r="Q72" s="23"/>
      <c r="R72" s="23">
        <f t="shared" si="25"/>
        <v>10000</v>
      </c>
      <c r="S72" s="25">
        <f t="shared" si="23"/>
        <v>90000</v>
      </c>
    </row>
    <row r="73" spans="1:20" s="13" customFormat="1" x14ac:dyDescent="0.25">
      <c r="A73" s="20" t="s">
        <v>119</v>
      </c>
      <c r="B73" s="21" t="s">
        <v>126</v>
      </c>
      <c r="C73" s="22">
        <v>0.25</v>
      </c>
      <c r="D73" s="22">
        <v>14</v>
      </c>
      <c r="E73" s="23">
        <f>7732*C73</f>
        <v>1933</v>
      </c>
      <c r="F73" s="22"/>
      <c r="G73" s="23">
        <f>E73+F73</f>
        <v>1933</v>
      </c>
      <c r="H73" s="23"/>
      <c r="I73" s="23"/>
      <c r="J73" s="23"/>
      <c r="K73" s="23">
        <f t="shared" si="22"/>
        <v>579.9</v>
      </c>
      <c r="L73" s="23">
        <f>20000*C73-G73-K73</f>
        <v>2487.1</v>
      </c>
      <c r="M73" s="23"/>
      <c r="N73" s="23">
        <v>234.3</v>
      </c>
      <c r="O73" s="23"/>
      <c r="P73" s="23"/>
      <c r="Q73" s="23"/>
      <c r="R73" s="23">
        <f>G73+K73+L73</f>
        <v>5000</v>
      </c>
      <c r="S73" s="25">
        <f t="shared" si="23"/>
        <v>45000</v>
      </c>
      <c r="T73" s="52"/>
    </row>
    <row r="74" spans="1:20" x14ac:dyDescent="0.25">
      <c r="A74" s="20" t="s">
        <v>127</v>
      </c>
      <c r="B74" s="21" t="s">
        <v>128</v>
      </c>
      <c r="C74" s="22">
        <v>1</v>
      </c>
      <c r="D74" s="22">
        <v>9</v>
      </c>
      <c r="E74" s="23">
        <v>5527</v>
      </c>
      <c r="F74" s="22">
        <f>E74*0.1</f>
        <v>552.70000000000005</v>
      </c>
      <c r="G74" s="23">
        <f t="shared" si="20"/>
        <v>6079.7</v>
      </c>
      <c r="H74" s="23"/>
      <c r="I74" s="23"/>
      <c r="J74" s="23"/>
      <c r="K74" s="23">
        <f t="shared" si="22"/>
        <v>1823.9099999999999</v>
      </c>
      <c r="L74" s="41">
        <v>5596.39</v>
      </c>
      <c r="M74" s="23"/>
      <c r="N74" s="23"/>
      <c r="O74" s="23"/>
      <c r="P74" s="23"/>
      <c r="Q74" s="23"/>
      <c r="R74" s="23">
        <f t="shared" si="21"/>
        <v>13500</v>
      </c>
      <c r="S74" s="25">
        <f t="shared" si="23"/>
        <v>121500</v>
      </c>
    </row>
    <row r="75" spans="1:20" x14ac:dyDescent="0.25">
      <c r="A75" s="20" t="s">
        <v>129</v>
      </c>
      <c r="B75" s="21" t="s">
        <v>130</v>
      </c>
      <c r="C75" s="22">
        <v>10</v>
      </c>
      <c r="D75" s="22">
        <v>9</v>
      </c>
      <c r="E75" s="23">
        <f>5527*C75</f>
        <v>55270</v>
      </c>
      <c r="F75" s="22"/>
      <c r="G75" s="23">
        <f t="shared" si="20"/>
        <v>55270</v>
      </c>
      <c r="H75" s="23"/>
      <c r="I75" s="23">
        <f t="shared" ref="I75:I77" si="26">G75*0.1</f>
        <v>5527</v>
      </c>
      <c r="J75" s="23"/>
      <c r="K75" s="23">
        <f t="shared" si="22"/>
        <v>16581</v>
      </c>
      <c r="L75" s="41">
        <f>13500*C75-G75-I75-K75-N75</f>
        <v>50922.6</v>
      </c>
      <c r="M75" s="23"/>
      <c r="N75" s="23">
        <f>669.94*C75</f>
        <v>6699.4000000000005</v>
      </c>
      <c r="O75" s="23"/>
      <c r="P75" s="23"/>
      <c r="Q75" s="23"/>
      <c r="R75" s="23">
        <f>G75+I75+K75+L75+N75</f>
        <v>135000</v>
      </c>
      <c r="S75" s="25">
        <f t="shared" si="23"/>
        <v>1215000</v>
      </c>
    </row>
    <row r="76" spans="1:20" x14ac:dyDescent="0.25">
      <c r="A76" s="20" t="s">
        <v>131</v>
      </c>
      <c r="B76" s="21" t="s">
        <v>132</v>
      </c>
      <c r="C76" s="22">
        <v>1</v>
      </c>
      <c r="D76" s="22">
        <v>6</v>
      </c>
      <c r="E76" s="23">
        <v>4633</v>
      </c>
      <c r="F76" s="22"/>
      <c r="G76" s="23">
        <f t="shared" si="20"/>
        <v>4633</v>
      </c>
      <c r="H76" s="23"/>
      <c r="I76" s="23">
        <f t="shared" si="26"/>
        <v>463.3</v>
      </c>
      <c r="J76" s="23"/>
      <c r="K76" s="23">
        <f t="shared" si="22"/>
        <v>1389.8999999999999</v>
      </c>
      <c r="L76" s="41">
        <f t="shared" ref="L76" si="27">13500-G76-I76-K76</f>
        <v>7013.8000000000011</v>
      </c>
      <c r="M76" s="23"/>
      <c r="N76" s="23"/>
      <c r="O76" s="23"/>
      <c r="P76" s="23"/>
      <c r="Q76" s="23"/>
      <c r="R76" s="23">
        <f t="shared" ref="R76" si="28">G76+I76+K76+L76</f>
        <v>13500</v>
      </c>
      <c r="S76" s="25">
        <f t="shared" si="23"/>
        <v>121500</v>
      </c>
    </row>
    <row r="77" spans="1:20" x14ac:dyDescent="0.25">
      <c r="A77" s="20" t="s">
        <v>133</v>
      </c>
      <c r="B77" s="21" t="s">
        <v>134</v>
      </c>
      <c r="C77" s="22">
        <v>6</v>
      </c>
      <c r="D77" s="22">
        <v>4</v>
      </c>
      <c r="E77" s="23">
        <f>4058*C77</f>
        <v>24348</v>
      </c>
      <c r="F77" s="22"/>
      <c r="G77" s="23">
        <f t="shared" si="20"/>
        <v>24348</v>
      </c>
      <c r="H77" s="23"/>
      <c r="I77" s="23">
        <f t="shared" si="26"/>
        <v>2434.8000000000002</v>
      </c>
      <c r="J77" s="23"/>
      <c r="K77" s="23"/>
      <c r="L77" s="23"/>
      <c r="M77" s="23"/>
      <c r="N77" s="23">
        <f>475.33*C77</f>
        <v>2851.98</v>
      </c>
      <c r="O77" s="23"/>
      <c r="P77" s="23">
        <f>8000*C77-G77</f>
        <v>23652</v>
      </c>
      <c r="Q77" s="23"/>
      <c r="R77" s="23">
        <f>E77+I77+P77+N77</f>
        <v>53286.780000000006</v>
      </c>
      <c r="S77" s="25">
        <f t="shared" si="23"/>
        <v>479581.02000000008</v>
      </c>
    </row>
    <row r="78" spans="1:20" x14ac:dyDescent="0.25">
      <c r="A78" s="20" t="s">
        <v>135</v>
      </c>
      <c r="B78" s="21" t="s">
        <v>136</v>
      </c>
      <c r="C78" s="22">
        <v>1</v>
      </c>
      <c r="D78" s="22">
        <v>3</v>
      </c>
      <c r="E78" s="23">
        <v>3770</v>
      </c>
      <c r="F78" s="22"/>
      <c r="G78" s="23">
        <f t="shared" si="20"/>
        <v>3770</v>
      </c>
      <c r="H78" s="23"/>
      <c r="I78" s="23"/>
      <c r="J78" s="23"/>
      <c r="K78" s="23"/>
      <c r="L78" s="23"/>
      <c r="M78" s="23"/>
      <c r="N78" s="23"/>
      <c r="O78" s="23"/>
      <c r="P78" s="23">
        <f t="shared" ref="P78:P79" si="29">8000-G78</f>
        <v>4230</v>
      </c>
      <c r="Q78" s="23"/>
      <c r="R78" s="23">
        <f>G78+P78</f>
        <v>8000</v>
      </c>
      <c r="S78" s="25">
        <f t="shared" si="23"/>
        <v>72000</v>
      </c>
      <c r="T78" s="53"/>
    </row>
    <row r="79" spans="1:20" x14ac:dyDescent="0.25">
      <c r="A79" s="20" t="s">
        <v>137</v>
      </c>
      <c r="B79" s="21" t="s">
        <v>138</v>
      </c>
      <c r="C79" s="22">
        <v>1</v>
      </c>
      <c r="D79" s="22">
        <v>4</v>
      </c>
      <c r="E79" s="23">
        <v>4058</v>
      </c>
      <c r="F79" s="22"/>
      <c r="G79" s="23">
        <f t="shared" si="20"/>
        <v>4058</v>
      </c>
      <c r="H79" s="23"/>
      <c r="I79" s="23"/>
      <c r="J79" s="23"/>
      <c r="K79" s="23"/>
      <c r="L79" s="23"/>
      <c r="M79" s="23"/>
      <c r="N79" s="23"/>
      <c r="O79" s="23"/>
      <c r="P79" s="23">
        <f t="shared" si="29"/>
        <v>3942</v>
      </c>
      <c r="Q79" s="23"/>
      <c r="R79" s="23">
        <f>G79+P79</f>
        <v>8000</v>
      </c>
      <c r="S79" s="25">
        <f t="shared" si="23"/>
        <v>72000</v>
      </c>
      <c r="T79" s="53"/>
    </row>
    <row r="80" spans="1:20" s="27" customFormat="1" ht="24.6" customHeight="1" thickBot="1" x14ac:dyDescent="0.3">
      <c r="A80" s="64"/>
      <c r="B80" s="47" t="s">
        <v>59</v>
      </c>
      <c r="C80" s="34">
        <f>SUM(C62:C79)</f>
        <v>29.5</v>
      </c>
      <c r="D80" s="34"/>
      <c r="E80" s="35">
        <f>SUM(E62:E79)</f>
        <v>166988.25</v>
      </c>
      <c r="F80" s="34">
        <f>SUM(F62:F79)</f>
        <v>2126.1999999999998</v>
      </c>
      <c r="G80" s="35">
        <f>SUM(G62:G79)</f>
        <v>169114.45</v>
      </c>
      <c r="H80" s="35"/>
      <c r="I80" s="35">
        <f>SUM(I62:I79)</f>
        <v>8425.1</v>
      </c>
      <c r="J80" s="35"/>
      <c r="K80" s="35">
        <f>SUM(K62:K79)</f>
        <v>41081.534999999996</v>
      </c>
      <c r="L80" s="35">
        <f>SUM(L62:L79)</f>
        <v>156778.435</v>
      </c>
      <c r="M80" s="35"/>
      <c r="N80" s="35">
        <f>SUM(N67:N79)</f>
        <v>14297.560000000001</v>
      </c>
      <c r="O80" s="35"/>
      <c r="P80" s="35">
        <f>SUM(P62:P79)</f>
        <v>31824</v>
      </c>
      <c r="Q80" s="35"/>
      <c r="R80" s="35">
        <f>SUM(R62:R79)</f>
        <v>421286.78</v>
      </c>
      <c r="S80" s="36">
        <f>SUM(S62:S79)</f>
        <v>3791581.02</v>
      </c>
      <c r="T80" s="54"/>
    </row>
    <row r="81" spans="1:20" s="13" customFormat="1" ht="27.6" customHeight="1" x14ac:dyDescent="0.2">
      <c r="A81" s="18"/>
      <c r="B81" s="55" t="s">
        <v>139</v>
      </c>
      <c r="C81" s="85"/>
      <c r="D81" s="85"/>
      <c r="E81" s="94"/>
      <c r="F81" s="85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110"/>
      <c r="T81" s="52"/>
    </row>
    <row r="82" spans="1:20" s="13" customFormat="1" x14ac:dyDescent="0.25">
      <c r="A82" s="20" t="s">
        <v>140</v>
      </c>
      <c r="B82" s="21" t="s">
        <v>100</v>
      </c>
      <c r="C82" s="22">
        <v>1</v>
      </c>
      <c r="D82" s="22">
        <v>12</v>
      </c>
      <c r="E82" s="23">
        <v>6773</v>
      </c>
      <c r="F82" s="22">
        <f>E82*0.25</f>
        <v>1693.25</v>
      </c>
      <c r="G82" s="23">
        <f t="shared" ref="G82:G108" si="30">E82+F82</f>
        <v>8466.25</v>
      </c>
      <c r="H82" s="23"/>
      <c r="I82" s="23"/>
      <c r="J82" s="23"/>
      <c r="K82" s="23">
        <f>G82*0.3</f>
        <v>2539.875</v>
      </c>
      <c r="L82" s="23">
        <f t="shared" ref="L82" si="31">20000-G82-K82</f>
        <v>8993.875</v>
      </c>
      <c r="M82" s="23"/>
      <c r="N82" s="23"/>
      <c r="O82" s="23"/>
      <c r="P82" s="23"/>
      <c r="Q82" s="23"/>
      <c r="R82" s="23">
        <f t="shared" ref="R82:R84" si="32">G82+K82+L82</f>
        <v>20000</v>
      </c>
      <c r="S82" s="25">
        <f>R82*9</f>
        <v>180000</v>
      </c>
      <c r="T82" s="52"/>
    </row>
    <row r="83" spans="1:20" s="13" customFormat="1" x14ac:dyDescent="0.25">
      <c r="A83" s="20" t="s">
        <v>141</v>
      </c>
      <c r="B83" s="21" t="s">
        <v>142</v>
      </c>
      <c r="C83" s="22">
        <v>1.5</v>
      </c>
      <c r="D83" s="22">
        <v>14</v>
      </c>
      <c r="E83" s="23">
        <v>11598</v>
      </c>
      <c r="F83" s="22"/>
      <c r="G83" s="23">
        <f t="shared" si="30"/>
        <v>11598</v>
      </c>
      <c r="H83" s="23"/>
      <c r="I83" s="23"/>
      <c r="J83" s="23"/>
      <c r="K83" s="23">
        <f t="shared" ref="K83:K106" si="33">G83*0.3</f>
        <v>3479.4</v>
      </c>
      <c r="L83" s="23">
        <f>30000-G83-K83</f>
        <v>14922.6</v>
      </c>
      <c r="M83" s="23"/>
      <c r="N83" s="23"/>
      <c r="O83" s="23"/>
      <c r="P83" s="23"/>
      <c r="Q83" s="23"/>
      <c r="R83" s="23">
        <f t="shared" si="32"/>
        <v>30000</v>
      </c>
      <c r="S83" s="25">
        <f t="shared" ref="S83:S108" si="34">R83*9</f>
        <v>270000</v>
      </c>
      <c r="T83" s="52"/>
    </row>
    <row r="84" spans="1:20" s="13" customFormat="1" x14ac:dyDescent="0.25">
      <c r="A84" s="20" t="s">
        <v>143</v>
      </c>
      <c r="B84" s="21" t="s">
        <v>144</v>
      </c>
      <c r="C84" s="22">
        <v>1</v>
      </c>
      <c r="D84" s="22">
        <v>12</v>
      </c>
      <c r="E84" s="23">
        <v>6773</v>
      </c>
      <c r="F84" s="23">
        <f>E84*0.15</f>
        <v>1015.9499999999999</v>
      </c>
      <c r="G84" s="23">
        <f t="shared" si="30"/>
        <v>7788.95</v>
      </c>
      <c r="H84" s="23"/>
      <c r="I84" s="23"/>
      <c r="J84" s="23"/>
      <c r="K84" s="23">
        <f t="shared" si="33"/>
        <v>2336.6849999999999</v>
      </c>
      <c r="L84" s="23">
        <f t="shared" ref="L84" si="35">20000-G84-K84</f>
        <v>9874.3649999999998</v>
      </c>
      <c r="M84" s="23"/>
      <c r="N84" s="23"/>
      <c r="O84" s="23"/>
      <c r="P84" s="23"/>
      <c r="Q84" s="23"/>
      <c r="R84" s="23">
        <f t="shared" si="32"/>
        <v>20000</v>
      </c>
      <c r="S84" s="25">
        <f t="shared" si="34"/>
        <v>180000</v>
      </c>
      <c r="T84" s="52"/>
    </row>
    <row r="85" spans="1:20" s="13" customFormat="1" x14ac:dyDescent="0.25">
      <c r="A85" s="20" t="s">
        <v>145</v>
      </c>
      <c r="B85" s="21" t="s">
        <v>146</v>
      </c>
      <c r="C85" s="22">
        <v>1</v>
      </c>
      <c r="D85" s="22">
        <v>11</v>
      </c>
      <c r="E85" s="23">
        <v>6294</v>
      </c>
      <c r="F85" s="22"/>
      <c r="G85" s="23">
        <f t="shared" si="30"/>
        <v>6294</v>
      </c>
      <c r="H85" s="23"/>
      <c r="I85" s="23"/>
      <c r="J85" s="23"/>
      <c r="K85" s="23">
        <f t="shared" si="33"/>
        <v>1888.1999999999998</v>
      </c>
      <c r="L85" s="23">
        <f>20000-G85-K85</f>
        <v>11817.8</v>
      </c>
      <c r="M85" s="23"/>
      <c r="N85" s="23"/>
      <c r="O85" s="23"/>
      <c r="P85" s="23"/>
      <c r="Q85" s="23"/>
      <c r="R85" s="23">
        <f>G85+K85+L85</f>
        <v>20000</v>
      </c>
      <c r="S85" s="25">
        <f t="shared" si="34"/>
        <v>180000</v>
      </c>
      <c r="T85" s="52"/>
    </row>
    <row r="86" spans="1:20" s="13" customFormat="1" x14ac:dyDescent="0.25">
      <c r="A86" s="20" t="s">
        <v>147</v>
      </c>
      <c r="B86" s="21" t="s">
        <v>148</v>
      </c>
      <c r="C86" s="22">
        <v>1</v>
      </c>
      <c r="D86" s="22">
        <v>11</v>
      </c>
      <c r="E86" s="23">
        <v>6294</v>
      </c>
      <c r="F86" s="22"/>
      <c r="G86" s="23">
        <f t="shared" si="30"/>
        <v>6294</v>
      </c>
      <c r="H86" s="23"/>
      <c r="I86" s="23"/>
      <c r="J86" s="23"/>
      <c r="K86" s="23">
        <f t="shared" si="33"/>
        <v>1888.1999999999998</v>
      </c>
      <c r="L86" s="23">
        <f t="shared" ref="L86" si="36">20000-G86-K86</f>
        <v>11817.8</v>
      </c>
      <c r="M86" s="23"/>
      <c r="N86" s="23"/>
      <c r="O86" s="23"/>
      <c r="P86" s="23"/>
      <c r="Q86" s="23"/>
      <c r="R86" s="23">
        <f t="shared" ref="R86:R100" si="37">G86+K86+L86</f>
        <v>20000</v>
      </c>
      <c r="S86" s="25">
        <f t="shared" si="34"/>
        <v>180000</v>
      </c>
      <c r="T86" s="52"/>
    </row>
    <row r="87" spans="1:20" s="13" customFormat="1" x14ac:dyDescent="0.25">
      <c r="A87" s="20" t="s">
        <v>149</v>
      </c>
      <c r="B87" s="21" t="s">
        <v>150</v>
      </c>
      <c r="C87" s="22">
        <v>0.5</v>
      </c>
      <c r="D87" s="22">
        <v>14</v>
      </c>
      <c r="E87" s="23">
        <f>7732*C87</f>
        <v>3866</v>
      </c>
      <c r="F87" s="22"/>
      <c r="G87" s="23">
        <f t="shared" si="30"/>
        <v>3866</v>
      </c>
      <c r="H87" s="23"/>
      <c r="I87" s="23"/>
      <c r="J87" s="23"/>
      <c r="K87" s="23">
        <f t="shared" si="33"/>
        <v>1159.8</v>
      </c>
      <c r="L87" s="23">
        <f>20000*C87-G87-K87</f>
        <v>4974.2</v>
      </c>
      <c r="M87" s="23"/>
      <c r="N87" s="23"/>
      <c r="O87" s="23"/>
      <c r="P87" s="23"/>
      <c r="Q87" s="23"/>
      <c r="R87" s="23">
        <f t="shared" si="37"/>
        <v>10000</v>
      </c>
      <c r="S87" s="25">
        <f t="shared" si="34"/>
        <v>90000</v>
      </c>
      <c r="T87" s="52"/>
    </row>
    <row r="88" spans="1:20" s="13" customFormat="1" x14ac:dyDescent="0.25">
      <c r="A88" s="20" t="s">
        <v>151</v>
      </c>
      <c r="B88" s="21" t="s">
        <v>104</v>
      </c>
      <c r="C88" s="22">
        <v>0.5</v>
      </c>
      <c r="D88" s="22">
        <v>11</v>
      </c>
      <c r="E88" s="23">
        <v>3147</v>
      </c>
      <c r="F88" s="23">
        <f>E88*0.15</f>
        <v>472.04999999999995</v>
      </c>
      <c r="G88" s="23">
        <f t="shared" si="30"/>
        <v>3619.05</v>
      </c>
      <c r="H88" s="23"/>
      <c r="I88" s="23"/>
      <c r="J88" s="23"/>
      <c r="K88" s="23">
        <f t="shared" si="33"/>
        <v>1085.7149999999999</v>
      </c>
      <c r="L88" s="23">
        <f>20000/2-G88-K88</f>
        <v>5295.2349999999997</v>
      </c>
      <c r="M88" s="23"/>
      <c r="N88" s="23"/>
      <c r="O88" s="23"/>
      <c r="P88" s="23"/>
      <c r="Q88" s="23"/>
      <c r="R88" s="23">
        <f t="shared" si="37"/>
        <v>10000</v>
      </c>
      <c r="S88" s="25">
        <f t="shared" si="34"/>
        <v>90000</v>
      </c>
      <c r="T88" s="52"/>
    </row>
    <row r="89" spans="1:20" s="13" customFormat="1" x14ac:dyDescent="0.25">
      <c r="A89" s="20" t="s">
        <v>152</v>
      </c>
      <c r="B89" s="21" t="s">
        <v>153</v>
      </c>
      <c r="C89" s="22">
        <v>2</v>
      </c>
      <c r="D89" s="22">
        <v>14</v>
      </c>
      <c r="E89" s="23">
        <f>7732*C89</f>
        <v>15464</v>
      </c>
      <c r="F89" s="23">
        <f>E89*0.15</f>
        <v>2319.6</v>
      </c>
      <c r="G89" s="23">
        <f t="shared" si="30"/>
        <v>17783.599999999999</v>
      </c>
      <c r="H89" s="23"/>
      <c r="I89" s="23"/>
      <c r="J89" s="23"/>
      <c r="K89" s="23">
        <f t="shared" si="33"/>
        <v>5335.079999999999</v>
      </c>
      <c r="L89" s="23">
        <f>20000*C89-G89-K89</f>
        <v>16881.320000000003</v>
      </c>
      <c r="M89" s="23"/>
      <c r="N89" s="23"/>
      <c r="O89" s="23"/>
      <c r="P89" s="23"/>
      <c r="Q89" s="23"/>
      <c r="R89" s="23">
        <f t="shared" si="37"/>
        <v>40000</v>
      </c>
      <c r="S89" s="25">
        <f t="shared" si="34"/>
        <v>360000</v>
      </c>
      <c r="T89" s="52"/>
    </row>
    <row r="90" spans="1:20" s="13" customFormat="1" x14ac:dyDescent="0.25">
      <c r="A90" s="20" t="s">
        <v>154</v>
      </c>
      <c r="B90" s="21" t="s">
        <v>155</v>
      </c>
      <c r="C90" s="22">
        <v>1</v>
      </c>
      <c r="D90" s="22">
        <v>13</v>
      </c>
      <c r="E90" s="23">
        <v>7253</v>
      </c>
      <c r="F90" s="22"/>
      <c r="G90" s="23">
        <f t="shared" si="30"/>
        <v>7253</v>
      </c>
      <c r="H90" s="23"/>
      <c r="I90" s="23"/>
      <c r="J90" s="23"/>
      <c r="K90" s="23">
        <f t="shared" si="33"/>
        <v>2175.9</v>
      </c>
      <c r="L90" s="23">
        <f>20000-G90-K90</f>
        <v>10571.1</v>
      </c>
      <c r="M90" s="23"/>
      <c r="N90" s="23"/>
      <c r="O90" s="23"/>
      <c r="P90" s="23"/>
      <c r="Q90" s="23"/>
      <c r="R90" s="23">
        <f t="shared" si="37"/>
        <v>20000</v>
      </c>
      <c r="S90" s="25">
        <f t="shared" si="34"/>
        <v>180000</v>
      </c>
      <c r="T90" s="52"/>
    </row>
    <row r="91" spans="1:20" x14ac:dyDescent="0.25">
      <c r="A91" s="20" t="s">
        <v>156</v>
      </c>
      <c r="B91" s="21" t="s">
        <v>157</v>
      </c>
      <c r="C91" s="22">
        <v>1</v>
      </c>
      <c r="D91" s="22">
        <v>14</v>
      </c>
      <c r="E91" s="23">
        <v>7732</v>
      </c>
      <c r="F91" s="23">
        <f>E91*0.15</f>
        <v>1159.8</v>
      </c>
      <c r="G91" s="23">
        <f t="shared" si="30"/>
        <v>8891.7999999999993</v>
      </c>
      <c r="H91" s="23"/>
      <c r="I91" s="23"/>
      <c r="J91" s="23"/>
      <c r="K91" s="23">
        <f t="shared" si="33"/>
        <v>2667.5399999999995</v>
      </c>
      <c r="L91" s="23">
        <f>20000-G91-K91</f>
        <v>8440.6600000000017</v>
      </c>
      <c r="M91" s="23"/>
      <c r="N91" s="23"/>
      <c r="O91" s="23"/>
      <c r="P91" s="23"/>
      <c r="Q91" s="23"/>
      <c r="R91" s="23">
        <f t="shared" si="37"/>
        <v>20000</v>
      </c>
      <c r="S91" s="25">
        <f t="shared" si="34"/>
        <v>180000</v>
      </c>
      <c r="T91" s="53"/>
    </row>
    <row r="92" spans="1:20" s="13" customFormat="1" x14ac:dyDescent="0.25">
      <c r="A92" s="20" t="s">
        <v>119</v>
      </c>
      <c r="B92" s="21" t="s">
        <v>158</v>
      </c>
      <c r="C92" s="22">
        <v>0.25</v>
      </c>
      <c r="D92" s="22">
        <v>14</v>
      </c>
      <c r="E92" s="23">
        <f>7732*C92</f>
        <v>1933</v>
      </c>
      <c r="F92" s="22"/>
      <c r="G92" s="23">
        <f>E92+F92</f>
        <v>1933</v>
      </c>
      <c r="H92" s="23"/>
      <c r="I92" s="23"/>
      <c r="J92" s="23"/>
      <c r="K92" s="23">
        <f t="shared" si="33"/>
        <v>579.9</v>
      </c>
      <c r="L92" s="23">
        <f>20000*C92-G92-K92</f>
        <v>2487.1</v>
      </c>
      <c r="M92" s="23"/>
      <c r="N92" s="23"/>
      <c r="O92" s="23"/>
      <c r="P92" s="23"/>
      <c r="Q92" s="23"/>
      <c r="R92" s="23">
        <f>G92+K92+L92</f>
        <v>5000</v>
      </c>
      <c r="S92" s="25">
        <f t="shared" si="34"/>
        <v>45000</v>
      </c>
      <c r="T92" s="52"/>
    </row>
    <row r="93" spans="1:20" s="13" customFormat="1" x14ac:dyDescent="0.25">
      <c r="A93" s="20" t="s">
        <v>159</v>
      </c>
      <c r="B93" s="21" t="s">
        <v>160</v>
      </c>
      <c r="C93" s="22">
        <v>0.5</v>
      </c>
      <c r="D93" s="22">
        <v>14</v>
      </c>
      <c r="E93" s="23">
        <v>3866</v>
      </c>
      <c r="F93" s="22"/>
      <c r="G93" s="23">
        <f t="shared" si="30"/>
        <v>3866</v>
      </c>
      <c r="H93" s="23"/>
      <c r="I93" s="23"/>
      <c r="J93" s="23"/>
      <c r="K93" s="23">
        <f t="shared" si="33"/>
        <v>1159.8</v>
      </c>
      <c r="L93" s="23">
        <f>20000/2-G93-K93</f>
        <v>4974.2</v>
      </c>
      <c r="M93" s="23"/>
      <c r="N93" s="23"/>
      <c r="O93" s="23"/>
      <c r="P93" s="23"/>
      <c r="Q93" s="23"/>
      <c r="R93" s="23">
        <f t="shared" si="37"/>
        <v>10000</v>
      </c>
      <c r="S93" s="25">
        <f t="shared" si="34"/>
        <v>90000</v>
      </c>
      <c r="T93" s="52"/>
    </row>
    <row r="94" spans="1:20" s="13" customFormat="1" x14ac:dyDescent="0.25">
      <c r="A94" s="20" t="s">
        <v>161</v>
      </c>
      <c r="B94" s="21" t="s">
        <v>162</v>
      </c>
      <c r="C94" s="22">
        <v>0.5</v>
      </c>
      <c r="D94" s="22">
        <v>11</v>
      </c>
      <c r="E94" s="23">
        <v>3147</v>
      </c>
      <c r="F94" s="22"/>
      <c r="G94" s="23">
        <f t="shared" si="30"/>
        <v>3147</v>
      </c>
      <c r="H94" s="23"/>
      <c r="I94" s="23"/>
      <c r="J94" s="23"/>
      <c r="K94" s="23">
        <f t="shared" si="33"/>
        <v>944.09999999999991</v>
      </c>
      <c r="L94" s="23">
        <f>20000/2-G94-K94</f>
        <v>5908.9</v>
      </c>
      <c r="M94" s="23"/>
      <c r="N94" s="23"/>
      <c r="O94" s="23"/>
      <c r="P94" s="23"/>
      <c r="Q94" s="23"/>
      <c r="R94" s="23">
        <f t="shared" si="37"/>
        <v>10000</v>
      </c>
      <c r="S94" s="25">
        <f t="shared" si="34"/>
        <v>90000</v>
      </c>
      <c r="T94" s="52"/>
    </row>
    <row r="95" spans="1:20" s="56" customFormat="1" x14ac:dyDescent="0.25">
      <c r="A95" s="20" t="s">
        <v>163</v>
      </c>
      <c r="B95" s="21" t="s">
        <v>164</v>
      </c>
      <c r="C95" s="22">
        <v>0.5</v>
      </c>
      <c r="D95" s="22">
        <v>14</v>
      </c>
      <c r="E95" s="23">
        <v>3866</v>
      </c>
      <c r="F95" s="22"/>
      <c r="G95" s="23">
        <f t="shared" si="30"/>
        <v>3866</v>
      </c>
      <c r="H95" s="23"/>
      <c r="I95" s="23"/>
      <c r="J95" s="23"/>
      <c r="K95" s="23">
        <f t="shared" si="33"/>
        <v>1159.8</v>
      </c>
      <c r="L95" s="23">
        <f>20000/2-G95-K95</f>
        <v>4974.2</v>
      </c>
      <c r="M95" s="23"/>
      <c r="N95" s="23"/>
      <c r="O95" s="23"/>
      <c r="P95" s="23"/>
      <c r="Q95" s="23"/>
      <c r="R95" s="23">
        <f t="shared" si="37"/>
        <v>10000</v>
      </c>
      <c r="S95" s="25">
        <f t="shared" si="34"/>
        <v>90000</v>
      </c>
    </row>
    <row r="96" spans="1:20" s="13" customFormat="1" x14ac:dyDescent="0.25">
      <c r="A96" s="20" t="s">
        <v>165</v>
      </c>
      <c r="B96" s="21" t="s">
        <v>166</v>
      </c>
      <c r="C96" s="22">
        <v>1</v>
      </c>
      <c r="D96" s="22">
        <v>14</v>
      </c>
      <c r="E96" s="23">
        <v>7732</v>
      </c>
      <c r="F96" s="22"/>
      <c r="G96" s="23">
        <f t="shared" si="30"/>
        <v>7732</v>
      </c>
      <c r="H96" s="23"/>
      <c r="I96" s="23"/>
      <c r="J96" s="23"/>
      <c r="K96" s="23">
        <f t="shared" si="33"/>
        <v>2319.6</v>
      </c>
      <c r="L96" s="23">
        <f t="shared" ref="L96" si="38">20000-G96-K96</f>
        <v>9948.4</v>
      </c>
      <c r="M96" s="23"/>
      <c r="N96" s="23"/>
      <c r="O96" s="23"/>
      <c r="P96" s="23"/>
      <c r="Q96" s="23"/>
      <c r="R96" s="23">
        <f t="shared" si="37"/>
        <v>20000</v>
      </c>
      <c r="S96" s="25">
        <f t="shared" si="34"/>
        <v>180000</v>
      </c>
      <c r="T96" s="52"/>
    </row>
    <row r="97" spans="1:20" x14ac:dyDescent="0.25">
      <c r="A97" s="20" t="s">
        <v>167</v>
      </c>
      <c r="B97" s="21" t="s">
        <v>112</v>
      </c>
      <c r="C97" s="22">
        <v>0.5</v>
      </c>
      <c r="D97" s="22">
        <v>10</v>
      </c>
      <c r="E97" s="23">
        <v>2907.5</v>
      </c>
      <c r="F97" s="22"/>
      <c r="G97" s="23">
        <f t="shared" si="30"/>
        <v>2907.5</v>
      </c>
      <c r="H97" s="23"/>
      <c r="I97" s="23"/>
      <c r="J97" s="23"/>
      <c r="K97" s="23">
        <f t="shared" si="33"/>
        <v>872.25</v>
      </c>
      <c r="L97" s="23">
        <f>20000/2-G97-K97</f>
        <v>6220.25</v>
      </c>
      <c r="M97" s="23"/>
      <c r="N97" s="23"/>
      <c r="O97" s="23"/>
      <c r="P97" s="23"/>
      <c r="Q97" s="23"/>
      <c r="R97" s="23">
        <f t="shared" si="37"/>
        <v>10000</v>
      </c>
      <c r="S97" s="25">
        <f t="shared" si="34"/>
        <v>90000</v>
      </c>
      <c r="T97" s="53"/>
    </row>
    <row r="98" spans="1:20" s="13" customFormat="1" x14ac:dyDescent="0.25">
      <c r="A98" s="20" t="s">
        <v>168</v>
      </c>
      <c r="B98" s="21" t="s">
        <v>169</v>
      </c>
      <c r="C98" s="22">
        <v>1.5</v>
      </c>
      <c r="D98" s="22">
        <v>14</v>
      </c>
      <c r="E98" s="23">
        <f>7732*C98</f>
        <v>11598</v>
      </c>
      <c r="F98" s="22"/>
      <c r="G98" s="23">
        <f t="shared" si="30"/>
        <v>11598</v>
      </c>
      <c r="H98" s="23"/>
      <c r="I98" s="23"/>
      <c r="J98" s="23"/>
      <c r="K98" s="23">
        <f t="shared" si="33"/>
        <v>3479.4</v>
      </c>
      <c r="L98" s="23">
        <f>20000*C98-G98-K98</f>
        <v>14922.6</v>
      </c>
      <c r="M98" s="23"/>
      <c r="N98" s="23"/>
      <c r="O98" s="23"/>
      <c r="P98" s="23"/>
      <c r="Q98" s="23"/>
      <c r="R98" s="23">
        <f t="shared" si="37"/>
        <v>30000</v>
      </c>
      <c r="S98" s="25">
        <f t="shared" si="34"/>
        <v>270000</v>
      </c>
      <c r="T98" s="52"/>
    </row>
    <row r="99" spans="1:20" x14ac:dyDescent="0.25">
      <c r="A99" s="20" t="s">
        <v>170</v>
      </c>
      <c r="B99" s="21" t="s">
        <v>171</v>
      </c>
      <c r="C99" s="22">
        <v>0.5</v>
      </c>
      <c r="D99" s="22">
        <v>13</v>
      </c>
      <c r="E99" s="23">
        <f>7523*C99</f>
        <v>3761.5</v>
      </c>
      <c r="F99" s="22"/>
      <c r="G99" s="23">
        <f t="shared" si="30"/>
        <v>3761.5</v>
      </c>
      <c r="H99" s="23"/>
      <c r="I99" s="23"/>
      <c r="J99" s="23"/>
      <c r="K99" s="23">
        <f t="shared" si="33"/>
        <v>1128.45</v>
      </c>
      <c r="L99" s="23">
        <f>20000/2-G99-K99</f>
        <v>5110.05</v>
      </c>
      <c r="M99" s="23"/>
      <c r="N99" s="23"/>
      <c r="O99" s="23"/>
      <c r="P99" s="23"/>
      <c r="Q99" s="23"/>
      <c r="R99" s="23">
        <f t="shared" si="37"/>
        <v>10000</v>
      </c>
      <c r="S99" s="25">
        <f t="shared" si="34"/>
        <v>90000</v>
      </c>
      <c r="T99" s="53"/>
    </row>
    <row r="100" spans="1:20" x14ac:dyDescent="0.25">
      <c r="A100" s="20" t="s">
        <v>172</v>
      </c>
      <c r="B100" s="21" t="s">
        <v>173</v>
      </c>
      <c r="C100" s="22">
        <v>0.5</v>
      </c>
      <c r="D100" s="22">
        <v>14</v>
      </c>
      <c r="E100" s="23">
        <v>3866</v>
      </c>
      <c r="F100" s="22"/>
      <c r="G100" s="23">
        <f t="shared" si="30"/>
        <v>3866</v>
      </c>
      <c r="H100" s="23"/>
      <c r="I100" s="23"/>
      <c r="J100" s="23"/>
      <c r="K100" s="23">
        <f t="shared" si="33"/>
        <v>1159.8</v>
      </c>
      <c r="L100" s="23">
        <f>20000/2-G100-K100</f>
        <v>4974.2</v>
      </c>
      <c r="M100" s="23"/>
      <c r="N100" s="23"/>
      <c r="O100" s="23"/>
      <c r="P100" s="23"/>
      <c r="Q100" s="23"/>
      <c r="R100" s="23">
        <f t="shared" si="37"/>
        <v>10000</v>
      </c>
      <c r="S100" s="25">
        <f t="shared" si="34"/>
        <v>90000</v>
      </c>
      <c r="T100" s="53"/>
    </row>
    <row r="101" spans="1:20" x14ac:dyDescent="0.25">
      <c r="A101" s="20" t="s">
        <v>174</v>
      </c>
      <c r="B101" s="21" t="s">
        <v>128</v>
      </c>
      <c r="C101" s="22">
        <v>0.5</v>
      </c>
      <c r="D101" s="22">
        <v>9</v>
      </c>
      <c r="E101" s="23">
        <f>5527*C101</f>
        <v>2763.5</v>
      </c>
      <c r="F101" s="22"/>
      <c r="G101" s="23">
        <f t="shared" si="30"/>
        <v>2763.5</v>
      </c>
      <c r="H101" s="23"/>
      <c r="I101" s="23"/>
      <c r="J101" s="23"/>
      <c r="K101" s="23">
        <f t="shared" si="33"/>
        <v>829.05</v>
      </c>
      <c r="L101" s="23">
        <f>13500*C101-G101-K101</f>
        <v>3157.45</v>
      </c>
      <c r="M101" s="23"/>
      <c r="N101" s="23"/>
      <c r="O101" s="23"/>
      <c r="P101" s="23"/>
      <c r="Q101" s="23"/>
      <c r="R101" s="23">
        <f>G101+K101+L101</f>
        <v>6750</v>
      </c>
      <c r="S101" s="25">
        <f t="shared" si="34"/>
        <v>60750</v>
      </c>
      <c r="T101" s="53"/>
    </row>
    <row r="102" spans="1:20" x14ac:dyDescent="0.25">
      <c r="A102" s="20" t="s">
        <v>175</v>
      </c>
      <c r="B102" s="21" t="s">
        <v>176</v>
      </c>
      <c r="C102" s="22">
        <v>1</v>
      </c>
      <c r="D102" s="22">
        <v>9</v>
      </c>
      <c r="E102" s="23">
        <v>5527</v>
      </c>
      <c r="F102" s="22">
        <f>E102*0.15</f>
        <v>829.05</v>
      </c>
      <c r="G102" s="23">
        <f t="shared" si="30"/>
        <v>6356.05</v>
      </c>
      <c r="H102" s="23"/>
      <c r="I102" s="23"/>
      <c r="J102" s="23"/>
      <c r="K102" s="23">
        <f t="shared" si="33"/>
        <v>1906.8150000000001</v>
      </c>
      <c r="L102" s="23">
        <f>13500-G102-K102</f>
        <v>5237.1350000000002</v>
      </c>
      <c r="M102" s="23"/>
      <c r="N102" s="23"/>
      <c r="O102" s="23"/>
      <c r="P102" s="23"/>
      <c r="Q102" s="23"/>
      <c r="R102" s="23">
        <f>G102+K102+L102</f>
        <v>13500</v>
      </c>
      <c r="S102" s="25">
        <f t="shared" si="34"/>
        <v>121500</v>
      </c>
      <c r="T102" s="53"/>
    </row>
    <row r="103" spans="1:20" x14ac:dyDescent="0.25">
      <c r="A103" s="20" t="s">
        <v>177</v>
      </c>
      <c r="B103" s="21" t="s">
        <v>178</v>
      </c>
      <c r="C103" s="22">
        <v>1.5</v>
      </c>
      <c r="D103" s="22">
        <v>7</v>
      </c>
      <c r="E103" s="23">
        <v>7380</v>
      </c>
      <c r="F103" s="22"/>
      <c r="G103" s="23">
        <f t="shared" si="30"/>
        <v>7380</v>
      </c>
      <c r="H103" s="23"/>
      <c r="I103" s="23">
        <f>G103*0.1</f>
        <v>738</v>
      </c>
      <c r="J103" s="23"/>
      <c r="K103" s="23">
        <f t="shared" si="33"/>
        <v>2214</v>
      </c>
      <c r="L103" s="23">
        <f>13500*1.5-G103-I103-K103</f>
        <v>9918</v>
      </c>
      <c r="M103" s="23"/>
      <c r="N103" s="23"/>
      <c r="O103" s="23"/>
      <c r="P103" s="23"/>
      <c r="Q103" s="23"/>
      <c r="R103" s="23">
        <f>G103+I103+K103+L103</f>
        <v>20250</v>
      </c>
      <c r="S103" s="25">
        <f t="shared" si="34"/>
        <v>182250</v>
      </c>
      <c r="T103" s="53"/>
    </row>
    <row r="104" spans="1:20" x14ac:dyDescent="0.25">
      <c r="A104" s="20" t="s">
        <v>179</v>
      </c>
      <c r="B104" s="21" t="s">
        <v>91</v>
      </c>
      <c r="C104" s="22">
        <v>6</v>
      </c>
      <c r="D104" s="22">
        <v>9</v>
      </c>
      <c r="E104" s="23">
        <f>5527*C104</f>
        <v>33162</v>
      </c>
      <c r="F104" s="22"/>
      <c r="G104" s="23">
        <f t="shared" si="30"/>
        <v>33162</v>
      </c>
      <c r="H104" s="23"/>
      <c r="I104" s="23"/>
      <c r="J104" s="23"/>
      <c r="K104" s="23">
        <f t="shared" si="33"/>
        <v>9948.6</v>
      </c>
      <c r="L104" s="23">
        <f>13500*C104-G104-K104</f>
        <v>37889.4</v>
      </c>
      <c r="M104" s="23"/>
      <c r="N104" s="23"/>
      <c r="O104" s="23"/>
      <c r="P104" s="23"/>
      <c r="Q104" s="23"/>
      <c r="R104" s="23">
        <f t="shared" ref="R104" si="39">G104+K104+L104</f>
        <v>81000</v>
      </c>
      <c r="S104" s="25">
        <f t="shared" si="34"/>
        <v>729000</v>
      </c>
      <c r="T104" s="53"/>
    </row>
    <row r="105" spans="1:20" x14ac:dyDescent="0.25">
      <c r="A105" s="20" t="s">
        <v>181</v>
      </c>
      <c r="B105" s="21" t="s">
        <v>180</v>
      </c>
      <c r="C105" s="22">
        <v>1</v>
      </c>
      <c r="D105" s="22">
        <v>9</v>
      </c>
      <c r="E105" s="23">
        <f>5527*C105</f>
        <v>5527</v>
      </c>
      <c r="F105" s="22"/>
      <c r="G105" s="23">
        <f t="shared" si="30"/>
        <v>5527</v>
      </c>
      <c r="H105" s="23"/>
      <c r="I105" s="23">
        <f>G105*0.1</f>
        <v>552.70000000000005</v>
      </c>
      <c r="J105" s="23"/>
      <c r="K105" s="23">
        <f t="shared" si="33"/>
        <v>1658.1</v>
      </c>
      <c r="L105" s="23">
        <f>13500-G105-K105-I105</f>
        <v>5762.2</v>
      </c>
      <c r="M105" s="23"/>
      <c r="N105" s="23"/>
      <c r="O105" s="23"/>
      <c r="P105" s="23"/>
      <c r="Q105" s="23"/>
      <c r="R105" s="23">
        <f>G105+K105+L105+I105</f>
        <v>13500</v>
      </c>
      <c r="S105" s="25">
        <f t="shared" si="34"/>
        <v>121500</v>
      </c>
      <c r="T105" s="53"/>
    </row>
    <row r="106" spans="1:20" x14ac:dyDescent="0.25">
      <c r="A106" s="20" t="s">
        <v>183</v>
      </c>
      <c r="B106" s="21" t="s">
        <v>182</v>
      </c>
      <c r="C106" s="22">
        <v>2</v>
      </c>
      <c r="D106" s="22">
        <v>9</v>
      </c>
      <c r="E106" s="23">
        <f>5527*C106</f>
        <v>11054</v>
      </c>
      <c r="F106" s="22">
        <f>E106*0.15</f>
        <v>1658.1</v>
      </c>
      <c r="G106" s="23">
        <f t="shared" si="30"/>
        <v>12712.1</v>
      </c>
      <c r="H106" s="23"/>
      <c r="I106" s="23"/>
      <c r="J106" s="23"/>
      <c r="K106" s="23">
        <f t="shared" si="33"/>
        <v>3813.63</v>
      </c>
      <c r="L106" s="23">
        <f>13500*C106-G106-K106</f>
        <v>10474.27</v>
      </c>
      <c r="M106" s="23"/>
      <c r="N106" s="23"/>
      <c r="O106" s="23"/>
      <c r="P106" s="23"/>
      <c r="Q106" s="23"/>
      <c r="R106" s="23">
        <f t="shared" ref="R106" si="40">G106+K106+L106</f>
        <v>27000</v>
      </c>
      <c r="S106" s="25">
        <f t="shared" si="34"/>
        <v>243000</v>
      </c>
      <c r="T106" s="53"/>
    </row>
    <row r="107" spans="1:20" s="38" customFormat="1" x14ac:dyDescent="0.25">
      <c r="A107" s="20" t="s">
        <v>185</v>
      </c>
      <c r="B107" s="21" t="s">
        <v>184</v>
      </c>
      <c r="C107" s="22">
        <v>0.5</v>
      </c>
      <c r="D107" s="22">
        <v>4</v>
      </c>
      <c r="E107" s="23">
        <v>2029</v>
      </c>
      <c r="F107" s="22"/>
      <c r="G107" s="23">
        <f>E107+F107</f>
        <v>2029</v>
      </c>
      <c r="H107" s="23"/>
      <c r="I107" s="23"/>
      <c r="J107" s="23"/>
      <c r="K107" s="23"/>
      <c r="L107" s="23"/>
      <c r="M107" s="23"/>
      <c r="N107" s="23"/>
      <c r="O107" s="23"/>
      <c r="P107" s="23">
        <f>8000/2-G107</f>
        <v>1971</v>
      </c>
      <c r="Q107" s="23"/>
      <c r="R107" s="23">
        <f>G107+I107+P107</f>
        <v>4000</v>
      </c>
      <c r="S107" s="25">
        <f t="shared" si="34"/>
        <v>36000</v>
      </c>
      <c r="T107" s="46"/>
    </row>
    <row r="108" spans="1:20" x14ac:dyDescent="0.25">
      <c r="A108" s="20" t="s">
        <v>188</v>
      </c>
      <c r="B108" s="21" t="s">
        <v>134</v>
      </c>
      <c r="C108" s="22">
        <v>4</v>
      </c>
      <c r="D108" s="22">
        <v>3</v>
      </c>
      <c r="E108" s="23">
        <f>3770*C108</f>
        <v>15080</v>
      </c>
      <c r="F108" s="22"/>
      <c r="G108" s="23">
        <f t="shared" si="30"/>
        <v>15080</v>
      </c>
      <c r="H108" s="23"/>
      <c r="I108" s="23">
        <f>G108*0.1</f>
        <v>1508</v>
      </c>
      <c r="J108" s="23"/>
      <c r="K108" s="23"/>
      <c r="L108" s="23"/>
      <c r="M108" s="23"/>
      <c r="N108" s="23"/>
      <c r="O108" s="23"/>
      <c r="P108" s="23">
        <f>8000*C108-G108</f>
        <v>16920</v>
      </c>
      <c r="Q108" s="23"/>
      <c r="R108" s="23">
        <f>G108+I108+P108</f>
        <v>33508</v>
      </c>
      <c r="S108" s="25">
        <f t="shared" si="34"/>
        <v>301572</v>
      </c>
      <c r="T108" s="53"/>
    </row>
    <row r="109" spans="1:20" s="27" customFormat="1" ht="23.4" customHeight="1" thickBot="1" x14ac:dyDescent="0.3">
      <c r="A109" s="112"/>
      <c r="B109" s="113" t="s">
        <v>59</v>
      </c>
      <c r="C109" s="114">
        <f>SUM(C82:C108)</f>
        <v>32.75</v>
      </c>
      <c r="D109" s="114"/>
      <c r="E109" s="115">
        <f>SUM(E82:E108)</f>
        <v>200393.5</v>
      </c>
      <c r="F109" s="115">
        <f>SUM(F82:F108)</f>
        <v>9147.8000000000011</v>
      </c>
      <c r="G109" s="115">
        <f>SUM(G82:G108)</f>
        <v>209541.30000000002</v>
      </c>
      <c r="H109" s="115"/>
      <c r="I109" s="115">
        <f>SUM(I82:I108)</f>
        <v>2798.7</v>
      </c>
      <c r="J109" s="115"/>
      <c r="K109" s="115">
        <f>SUM(K82:K108)</f>
        <v>57729.689999999995</v>
      </c>
      <c r="L109" s="115">
        <f>SUM(L82:L108)</f>
        <v>235547.31000000003</v>
      </c>
      <c r="M109" s="115"/>
      <c r="N109" s="115"/>
      <c r="O109" s="115"/>
      <c r="P109" s="115">
        <f>SUM(P107:P108)</f>
        <v>18891</v>
      </c>
      <c r="Q109" s="115"/>
      <c r="R109" s="115">
        <f>SUM(R82:R108)</f>
        <v>524508</v>
      </c>
      <c r="S109" s="116">
        <f>SUM(S82:S108)</f>
        <v>4720572</v>
      </c>
      <c r="T109" s="54"/>
    </row>
    <row r="110" spans="1:20" ht="22.2" customHeight="1" x14ac:dyDescent="0.25">
      <c r="A110" s="15"/>
      <c r="B110" s="86" t="s">
        <v>187</v>
      </c>
      <c r="C110" s="85"/>
      <c r="D110" s="85"/>
      <c r="E110" s="94"/>
      <c r="F110" s="85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110"/>
      <c r="T110" s="53"/>
    </row>
    <row r="111" spans="1:20" x14ac:dyDescent="0.25">
      <c r="A111" s="20" t="s">
        <v>190</v>
      </c>
      <c r="B111" s="21" t="s">
        <v>189</v>
      </c>
      <c r="C111" s="22">
        <v>0.75</v>
      </c>
      <c r="D111" s="22">
        <v>10</v>
      </c>
      <c r="E111" s="23">
        <f>5815*C111</f>
        <v>4361.25</v>
      </c>
      <c r="F111" s="22">
        <f>E111*0.15</f>
        <v>654.1875</v>
      </c>
      <c r="G111" s="23">
        <f t="shared" ref="G111:G115" si="41">E111+F111</f>
        <v>5015.4375</v>
      </c>
      <c r="H111" s="23"/>
      <c r="I111" s="23">
        <f>G111*0.1</f>
        <v>501.54375000000005</v>
      </c>
      <c r="J111" s="23"/>
      <c r="K111" s="23">
        <f>G111*0.3</f>
        <v>1504.6312499999999</v>
      </c>
      <c r="L111" s="23">
        <f>20000*C111-G111-I111-K111</f>
        <v>7978.3874999999989</v>
      </c>
      <c r="M111" s="23"/>
      <c r="N111" s="23"/>
      <c r="O111" s="23"/>
      <c r="P111" s="23"/>
      <c r="Q111" s="23"/>
      <c r="R111" s="23">
        <f>G111+I111+K111+L111</f>
        <v>14999.999999999998</v>
      </c>
      <c r="S111" s="25">
        <f>R111*9</f>
        <v>134999.99999999997</v>
      </c>
      <c r="T111" s="53"/>
    </row>
    <row r="112" spans="1:20" x14ac:dyDescent="0.25">
      <c r="A112" s="20" t="s">
        <v>192</v>
      </c>
      <c r="B112" s="21" t="s">
        <v>191</v>
      </c>
      <c r="C112" s="22">
        <v>1</v>
      </c>
      <c r="D112" s="22">
        <v>9</v>
      </c>
      <c r="E112" s="23">
        <v>5527</v>
      </c>
      <c r="F112" s="22">
        <f>E112*0.15</f>
        <v>829.05</v>
      </c>
      <c r="G112" s="23">
        <f t="shared" si="41"/>
        <v>6356.05</v>
      </c>
      <c r="H112" s="23"/>
      <c r="I112" s="23"/>
      <c r="J112" s="23"/>
      <c r="K112" s="23">
        <f t="shared" ref="K112:K113" si="42">G112*0.3</f>
        <v>1906.8150000000001</v>
      </c>
      <c r="L112" s="23">
        <f>20000-G112-K112</f>
        <v>11737.135</v>
      </c>
      <c r="M112" s="23"/>
      <c r="N112" s="23"/>
      <c r="O112" s="23"/>
      <c r="P112" s="23"/>
      <c r="Q112" s="23"/>
      <c r="R112" s="23">
        <f>G112+I112+K112+L112</f>
        <v>20000</v>
      </c>
      <c r="S112" s="25">
        <f t="shared" ref="S112:S114" si="43">R112*9</f>
        <v>180000</v>
      </c>
      <c r="T112" s="53"/>
    </row>
    <row r="113" spans="1:20" x14ac:dyDescent="0.25">
      <c r="A113" s="20" t="s">
        <v>194</v>
      </c>
      <c r="B113" s="21" t="s">
        <v>193</v>
      </c>
      <c r="C113" s="22">
        <v>3</v>
      </c>
      <c r="D113" s="22">
        <v>10</v>
      </c>
      <c r="E113" s="23">
        <f>5815*C113</f>
        <v>17445</v>
      </c>
      <c r="F113" s="22">
        <f>E113*0.15</f>
        <v>2616.75</v>
      </c>
      <c r="G113" s="23">
        <f t="shared" si="41"/>
        <v>20061.75</v>
      </c>
      <c r="H113" s="23"/>
      <c r="I113" s="23">
        <f>G113*0.1</f>
        <v>2006.1750000000002</v>
      </c>
      <c r="J113" s="23"/>
      <c r="K113" s="23">
        <f t="shared" si="42"/>
        <v>6018.5249999999996</v>
      </c>
      <c r="L113" s="23">
        <f>13500*C113-G113-I113-K113</f>
        <v>12413.550000000001</v>
      </c>
      <c r="M113" s="23"/>
      <c r="N113" s="23"/>
      <c r="O113" s="23"/>
      <c r="P113" s="23"/>
      <c r="Q113" s="23"/>
      <c r="R113" s="23">
        <f>G113+I113+K113+L113</f>
        <v>40500</v>
      </c>
      <c r="S113" s="25">
        <f t="shared" si="43"/>
        <v>364500</v>
      </c>
      <c r="T113" s="53"/>
    </row>
    <row r="114" spans="1:20" s="38" customFormat="1" x14ac:dyDescent="0.25">
      <c r="A114" s="20" t="s">
        <v>197</v>
      </c>
      <c r="B114" s="21" t="s">
        <v>186</v>
      </c>
      <c r="C114" s="22">
        <v>1</v>
      </c>
      <c r="D114" s="22">
        <v>3</v>
      </c>
      <c r="E114" s="23">
        <f>3770*C114</f>
        <v>3770</v>
      </c>
      <c r="F114" s="22">
        <f>E114*0.15</f>
        <v>565.5</v>
      </c>
      <c r="G114" s="23">
        <f t="shared" si="41"/>
        <v>4335.5</v>
      </c>
      <c r="H114" s="23"/>
      <c r="I114" s="23">
        <f>G114*0.1</f>
        <v>433.55</v>
      </c>
      <c r="J114" s="23"/>
      <c r="K114" s="23" t="s">
        <v>195</v>
      </c>
      <c r="L114" s="23"/>
      <c r="M114" s="23"/>
      <c r="N114" s="23"/>
      <c r="O114" s="23"/>
      <c r="P114" s="23">
        <f>8000*C114-E114</f>
        <v>4230</v>
      </c>
      <c r="Q114" s="23"/>
      <c r="R114" s="23">
        <f>G114+I114+P114</f>
        <v>8999.0499999999993</v>
      </c>
      <c r="S114" s="25">
        <f t="shared" si="43"/>
        <v>80991.45</v>
      </c>
      <c r="T114" s="46"/>
    </row>
    <row r="115" spans="1:20" s="27" customFormat="1" ht="25.2" customHeight="1" x14ac:dyDescent="0.25">
      <c r="A115" s="112"/>
      <c r="B115" s="113" t="s">
        <v>59</v>
      </c>
      <c r="C115" s="114">
        <f>C111+C112+C113+C114</f>
        <v>5.75</v>
      </c>
      <c r="D115" s="114"/>
      <c r="E115" s="115">
        <f>SUM(E111:E114)</f>
        <v>31103.25</v>
      </c>
      <c r="F115" s="114">
        <f>SUM(F111:F114)</f>
        <v>4665.4875000000002</v>
      </c>
      <c r="G115" s="115">
        <f t="shared" si="41"/>
        <v>35768.737500000003</v>
      </c>
      <c r="H115" s="115"/>
      <c r="I115" s="115">
        <f>SUM(I111:I114)</f>
        <v>2941.2687500000002</v>
      </c>
      <c r="J115" s="115"/>
      <c r="K115" s="115">
        <f>SUM(K111:K114)</f>
        <v>9429.9712499999987</v>
      </c>
      <c r="L115" s="115">
        <f>SUM(L111:L114)</f>
        <v>32129.072500000002</v>
      </c>
      <c r="M115" s="115"/>
      <c r="N115" s="115"/>
      <c r="O115" s="115"/>
      <c r="P115" s="115">
        <f>SUM(P111:P114)</f>
        <v>4230</v>
      </c>
      <c r="Q115" s="115"/>
      <c r="R115" s="115">
        <f>SUM(R111:R114)</f>
        <v>84499.05</v>
      </c>
      <c r="S115" s="116">
        <f>SUM(S111:S114)</f>
        <v>760491.45</v>
      </c>
      <c r="T115" s="54"/>
    </row>
    <row r="116" spans="1:20" s="27" customFormat="1" ht="21.6" customHeight="1" x14ac:dyDescent="0.25">
      <c r="A116" s="125"/>
      <c r="B116" s="126" t="s">
        <v>326</v>
      </c>
      <c r="C116" s="126"/>
      <c r="D116" s="126"/>
      <c r="E116" s="127"/>
      <c r="F116" s="126"/>
      <c r="G116" s="127"/>
      <c r="H116" s="127"/>
      <c r="I116" s="127"/>
      <c r="J116" s="127"/>
      <c r="K116" s="127"/>
      <c r="L116" s="127"/>
      <c r="M116" s="127"/>
      <c r="N116" s="127"/>
      <c r="O116" s="127"/>
      <c r="P116" s="127"/>
      <c r="Q116" s="127"/>
      <c r="R116" s="127"/>
      <c r="S116" s="127"/>
      <c r="T116" s="54"/>
    </row>
    <row r="117" spans="1:20" s="27" customFormat="1" ht="15" customHeight="1" x14ac:dyDescent="0.25">
      <c r="A117" s="128" t="s">
        <v>198</v>
      </c>
      <c r="B117" s="129" t="s">
        <v>323</v>
      </c>
      <c r="C117" s="130">
        <v>0.25</v>
      </c>
      <c r="D117" s="130">
        <v>10</v>
      </c>
      <c r="E117" s="131">
        <f>5815*C117</f>
        <v>1453.75</v>
      </c>
      <c r="F117" s="130">
        <f>E117*0.15</f>
        <v>218.0625</v>
      </c>
      <c r="G117" s="131">
        <f>E117+F117</f>
        <v>1671.8125</v>
      </c>
      <c r="H117" s="131"/>
      <c r="I117" s="131">
        <f>G117*0.1</f>
        <v>167.18125000000001</v>
      </c>
      <c r="J117" s="131"/>
      <c r="K117" s="131">
        <f>G117*0.3</f>
        <v>501.54374999999999</v>
      </c>
      <c r="L117" s="131">
        <f>20000*C117-G117-I117-K117</f>
        <v>2659.4625000000001</v>
      </c>
      <c r="M117" s="131"/>
      <c r="N117" s="131"/>
      <c r="O117" s="131"/>
      <c r="P117" s="131"/>
      <c r="Q117" s="131"/>
      <c r="R117" s="131">
        <f>L117+K117+I117+G117</f>
        <v>5000</v>
      </c>
      <c r="S117" s="131">
        <f>R117*9</f>
        <v>45000</v>
      </c>
      <c r="T117" s="54"/>
    </row>
    <row r="118" spans="1:20" s="27" customFormat="1" ht="13.2" customHeight="1" x14ac:dyDescent="0.25">
      <c r="A118" s="128" t="s">
        <v>199</v>
      </c>
      <c r="B118" s="129" t="s">
        <v>324</v>
      </c>
      <c r="C118" s="130">
        <v>0.25</v>
      </c>
      <c r="D118" s="130">
        <v>10</v>
      </c>
      <c r="E118" s="131">
        <f>5815*C118</f>
        <v>1453.75</v>
      </c>
      <c r="F118" s="130">
        <f>E118*0.15</f>
        <v>218.0625</v>
      </c>
      <c r="G118" s="131">
        <f>E118+F118</f>
        <v>1671.8125</v>
      </c>
      <c r="H118" s="131"/>
      <c r="I118" s="131">
        <f>G118*0.1</f>
        <v>167.18125000000001</v>
      </c>
      <c r="J118" s="131"/>
      <c r="K118" s="131">
        <f>G118*0.3</f>
        <v>501.54374999999999</v>
      </c>
      <c r="L118" s="131">
        <f>20000*C118-G118-I118-K118</f>
        <v>2659.4625000000001</v>
      </c>
      <c r="M118" s="131"/>
      <c r="N118" s="131"/>
      <c r="O118" s="131"/>
      <c r="P118" s="131"/>
      <c r="Q118" s="131"/>
      <c r="R118" s="131">
        <f t="shared" ref="R118" si="44">L118+K118+I118+G118</f>
        <v>5000</v>
      </c>
      <c r="S118" s="131">
        <f>R118*9</f>
        <v>45000</v>
      </c>
      <c r="T118" s="54"/>
    </row>
    <row r="119" spans="1:20" s="27" customFormat="1" ht="21.6" customHeight="1" x14ac:dyDescent="0.25">
      <c r="A119" s="128"/>
      <c r="B119" s="132" t="s">
        <v>59</v>
      </c>
      <c r="C119" s="126">
        <v>0.5</v>
      </c>
      <c r="D119" s="126"/>
      <c r="E119" s="127">
        <f>SUM(E117:E118)</f>
        <v>2907.5</v>
      </c>
      <c r="F119" s="126">
        <f>SUM(F117:F118)</f>
        <v>436.125</v>
      </c>
      <c r="G119" s="127">
        <f>SUM(G117:G118)</f>
        <v>3343.625</v>
      </c>
      <c r="H119" s="127"/>
      <c r="I119" s="127">
        <f>SUM(I117:I118)</f>
        <v>334.36250000000001</v>
      </c>
      <c r="J119" s="127"/>
      <c r="K119" s="127">
        <f>SUM(K117:K118)</f>
        <v>1003.0875</v>
      </c>
      <c r="L119" s="127">
        <f>SUM(L117:L118)</f>
        <v>5318.9250000000002</v>
      </c>
      <c r="M119" s="127"/>
      <c r="N119" s="127"/>
      <c r="O119" s="127"/>
      <c r="P119" s="127"/>
      <c r="Q119" s="127"/>
      <c r="R119" s="127">
        <f>SUM(R117:R118)</f>
        <v>10000</v>
      </c>
      <c r="S119" s="127">
        <f>SUM(S117:S118)</f>
        <v>90000</v>
      </c>
      <c r="T119" s="54"/>
    </row>
    <row r="120" spans="1:20" ht="23.4" customHeight="1" x14ac:dyDescent="0.25">
      <c r="A120" s="133"/>
      <c r="B120" s="29" t="s">
        <v>327</v>
      </c>
      <c r="C120" s="29"/>
      <c r="D120" s="29"/>
      <c r="E120" s="30"/>
      <c r="F120" s="29"/>
      <c r="G120" s="23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53"/>
    </row>
    <row r="121" spans="1:20" ht="14.4" customHeight="1" x14ac:dyDescent="0.25">
      <c r="A121" s="20" t="s">
        <v>198</v>
      </c>
      <c r="B121" s="21" t="s">
        <v>110</v>
      </c>
      <c r="C121" s="22">
        <v>0.25</v>
      </c>
      <c r="D121" s="22">
        <v>10</v>
      </c>
      <c r="E121" s="23">
        <f>5815*C121</f>
        <v>1453.75</v>
      </c>
      <c r="F121" s="22">
        <f t="shared" ref="F121:F124" si="45">E121*0.15</f>
        <v>218.0625</v>
      </c>
      <c r="G121" s="23">
        <f t="shared" si="20"/>
        <v>1671.8125</v>
      </c>
      <c r="H121" s="23"/>
      <c r="I121" s="23"/>
      <c r="J121" s="23"/>
      <c r="K121" s="23">
        <f>G121*0.3</f>
        <v>501.54374999999999</v>
      </c>
      <c r="L121" s="23">
        <f>20000*C121-G121-K121</f>
        <v>2826.6437500000002</v>
      </c>
      <c r="M121" s="23"/>
      <c r="N121" s="23"/>
      <c r="O121" s="23"/>
      <c r="P121" s="23"/>
      <c r="Q121" s="23"/>
      <c r="R121" s="23">
        <f t="shared" ref="R121:R122" si="46">G121+K121+L121</f>
        <v>5000</v>
      </c>
      <c r="S121" s="25">
        <f>R121*9</f>
        <v>45000</v>
      </c>
      <c r="T121" s="53"/>
    </row>
    <row r="122" spans="1:20" x14ac:dyDescent="0.25">
      <c r="A122" s="20" t="s">
        <v>199</v>
      </c>
      <c r="B122" s="21" t="s">
        <v>104</v>
      </c>
      <c r="C122" s="22">
        <v>0.25</v>
      </c>
      <c r="D122" s="22">
        <v>10</v>
      </c>
      <c r="E122" s="23">
        <f>5815*C122</f>
        <v>1453.75</v>
      </c>
      <c r="F122" s="22">
        <f t="shared" si="45"/>
        <v>218.0625</v>
      </c>
      <c r="G122" s="23">
        <f t="shared" si="20"/>
        <v>1671.8125</v>
      </c>
      <c r="H122" s="23"/>
      <c r="I122" s="23"/>
      <c r="J122" s="23"/>
      <c r="K122" s="23">
        <f t="shared" ref="K122:K123" si="47">G122*0.3</f>
        <v>501.54374999999999</v>
      </c>
      <c r="L122" s="23">
        <f>20000*C122-G122-K122</f>
        <v>2826.6437500000002</v>
      </c>
      <c r="M122" s="23"/>
      <c r="N122" s="23"/>
      <c r="O122" s="23"/>
      <c r="P122" s="23"/>
      <c r="Q122" s="23"/>
      <c r="R122" s="23">
        <f t="shared" si="46"/>
        <v>5000</v>
      </c>
      <c r="S122" s="25">
        <f>R122*9</f>
        <v>45000</v>
      </c>
      <c r="T122" s="53"/>
    </row>
    <row r="123" spans="1:20" x14ac:dyDescent="0.25">
      <c r="A123" s="20" t="s">
        <v>200</v>
      </c>
      <c r="B123" s="21" t="s">
        <v>130</v>
      </c>
      <c r="C123" s="22">
        <v>4</v>
      </c>
      <c r="D123" s="22">
        <v>9</v>
      </c>
      <c r="E123" s="23">
        <f>5527*C123</f>
        <v>22108</v>
      </c>
      <c r="F123" s="22">
        <f t="shared" si="45"/>
        <v>3316.2</v>
      </c>
      <c r="G123" s="23">
        <f t="shared" si="20"/>
        <v>25424.2</v>
      </c>
      <c r="H123" s="23"/>
      <c r="I123" s="23">
        <f t="shared" ref="I123:I124" si="48">G123*0.1</f>
        <v>2542.42</v>
      </c>
      <c r="J123" s="23"/>
      <c r="K123" s="23">
        <f t="shared" si="47"/>
        <v>7627.26</v>
      </c>
      <c r="L123" s="23">
        <f>13500*C123-G123-K123-I123-N123</f>
        <v>15816.520000000002</v>
      </c>
      <c r="M123" s="23"/>
      <c r="N123" s="23">
        <f>647.4*C123</f>
        <v>2589.6</v>
      </c>
      <c r="O123" s="23"/>
      <c r="P123" s="23"/>
      <c r="Q123" s="23"/>
      <c r="R123" s="23">
        <f>G123+K123+L123+I123+N123</f>
        <v>54000</v>
      </c>
      <c r="S123" s="25">
        <f>R123*9</f>
        <v>486000</v>
      </c>
      <c r="T123" s="53"/>
    </row>
    <row r="124" spans="1:20" s="13" customFormat="1" x14ac:dyDescent="0.2">
      <c r="A124" s="28" t="s">
        <v>202</v>
      </c>
      <c r="B124" s="21" t="s">
        <v>134</v>
      </c>
      <c r="C124" s="22">
        <v>3.5</v>
      </c>
      <c r="D124" s="22">
        <v>4</v>
      </c>
      <c r="E124" s="23">
        <f>4058*C124</f>
        <v>14203</v>
      </c>
      <c r="F124" s="22">
        <f t="shared" si="45"/>
        <v>2130.4499999999998</v>
      </c>
      <c r="G124" s="23">
        <f t="shared" si="20"/>
        <v>16333.45</v>
      </c>
      <c r="H124" s="23"/>
      <c r="I124" s="23">
        <f t="shared" si="48"/>
        <v>1633.3450000000003</v>
      </c>
      <c r="J124" s="23"/>
      <c r="K124" s="23"/>
      <c r="L124" s="23"/>
      <c r="M124" s="23"/>
      <c r="N124" s="23">
        <f>475.33*C124</f>
        <v>1663.655</v>
      </c>
      <c r="O124" s="23"/>
      <c r="P124" s="23">
        <f>8000*C124-E124</f>
        <v>13797</v>
      </c>
      <c r="Q124" s="23"/>
      <c r="R124" s="23">
        <f>G124+I124+P124+N124</f>
        <v>33427.450000000004</v>
      </c>
      <c r="S124" s="25">
        <f>R124*9</f>
        <v>300847.05000000005</v>
      </c>
      <c r="T124" s="52"/>
    </row>
    <row r="125" spans="1:20" s="27" customFormat="1" ht="21.6" customHeight="1" thickBot="1" x14ac:dyDescent="0.3">
      <c r="A125" s="64"/>
      <c r="B125" s="117" t="s">
        <v>59</v>
      </c>
      <c r="C125" s="34">
        <f>SUM(C121:C124)</f>
        <v>8</v>
      </c>
      <c r="D125" s="34"/>
      <c r="E125" s="35">
        <f>SUM(E121:E124)</f>
        <v>39218.5</v>
      </c>
      <c r="F125" s="34">
        <f>SUM(F121:F124)</f>
        <v>5882.7749999999996</v>
      </c>
      <c r="G125" s="35">
        <f>SUM(G121:G124)</f>
        <v>45101.275000000001</v>
      </c>
      <c r="H125" s="35"/>
      <c r="I125" s="35">
        <f>SUM(I121:I124)</f>
        <v>4175.7650000000003</v>
      </c>
      <c r="J125" s="35"/>
      <c r="K125" s="35">
        <f>SUM(K121:K124)</f>
        <v>8630.3474999999999</v>
      </c>
      <c r="L125" s="35">
        <f>SUM(L121:L124)</f>
        <v>21469.807500000003</v>
      </c>
      <c r="M125" s="35"/>
      <c r="N125" s="35">
        <f>SUM(N121:N124)</f>
        <v>4253.2550000000001</v>
      </c>
      <c r="O125" s="35"/>
      <c r="P125" s="35">
        <f>SUM(P121:P124)</f>
        <v>13797</v>
      </c>
      <c r="Q125" s="35"/>
      <c r="R125" s="35">
        <f>SUM(R121:R124)</f>
        <v>97427.450000000012</v>
      </c>
      <c r="S125" s="36">
        <f>SUM(S121:S124)</f>
        <v>876847.05</v>
      </c>
      <c r="T125" s="54"/>
    </row>
    <row r="126" spans="1:20" s="56" customFormat="1" ht="27" customHeight="1" x14ac:dyDescent="0.25">
      <c r="A126" s="15"/>
      <c r="B126" s="86" t="s">
        <v>201</v>
      </c>
      <c r="C126" s="85"/>
      <c r="D126" s="85"/>
      <c r="E126" s="94"/>
      <c r="F126" s="85"/>
      <c r="G126" s="94"/>
      <c r="H126" s="94"/>
      <c r="I126" s="94"/>
      <c r="J126" s="94"/>
      <c r="K126" s="94"/>
      <c r="L126" s="94"/>
      <c r="M126" s="94"/>
      <c r="N126" s="94"/>
      <c r="O126" s="94"/>
      <c r="P126" s="94"/>
      <c r="Q126" s="94"/>
      <c r="R126" s="94"/>
      <c r="S126" s="110"/>
      <c r="T126" s="58"/>
    </row>
    <row r="127" spans="1:20" s="13" customFormat="1" x14ac:dyDescent="0.25">
      <c r="A127" s="20" t="s">
        <v>203</v>
      </c>
      <c r="B127" s="59" t="s">
        <v>100</v>
      </c>
      <c r="C127" s="22">
        <v>1</v>
      </c>
      <c r="D127" s="22">
        <v>13</v>
      </c>
      <c r="E127" s="23">
        <v>7253</v>
      </c>
      <c r="F127" s="22">
        <f>E127*0.2</f>
        <v>1450.6000000000001</v>
      </c>
      <c r="G127" s="23">
        <f t="shared" ref="G127:G128" si="49">E127+F127</f>
        <v>8703.6</v>
      </c>
      <c r="H127" s="23"/>
      <c r="I127" s="23"/>
      <c r="J127" s="23"/>
      <c r="K127" s="23">
        <f t="shared" ref="K127:K128" si="50">G127*0.3</f>
        <v>2611.08</v>
      </c>
      <c r="L127" s="23">
        <f t="shared" ref="L127" si="51">20000-G127-K127</f>
        <v>8685.32</v>
      </c>
      <c r="M127" s="23"/>
      <c r="N127" s="23"/>
      <c r="O127" s="23"/>
      <c r="P127" s="23"/>
      <c r="Q127" s="23"/>
      <c r="R127" s="23">
        <f>G127+K127+L127+O127</f>
        <v>20000</v>
      </c>
      <c r="S127" s="25">
        <f>R127*9</f>
        <v>180000</v>
      </c>
      <c r="T127" s="52"/>
    </row>
    <row r="128" spans="1:20" s="38" customFormat="1" x14ac:dyDescent="0.25">
      <c r="A128" s="57" t="s">
        <v>205</v>
      </c>
      <c r="B128" s="21" t="s">
        <v>128</v>
      </c>
      <c r="C128" s="22">
        <v>1</v>
      </c>
      <c r="D128" s="22">
        <v>10</v>
      </c>
      <c r="E128" s="23">
        <v>5815</v>
      </c>
      <c r="F128" s="22">
        <f>E128*0.1</f>
        <v>581.5</v>
      </c>
      <c r="G128" s="23">
        <f t="shared" si="49"/>
        <v>6396.5</v>
      </c>
      <c r="H128" s="23"/>
      <c r="I128" s="23"/>
      <c r="J128" s="23"/>
      <c r="K128" s="23">
        <f t="shared" si="50"/>
        <v>1918.9499999999998</v>
      </c>
      <c r="L128" s="23">
        <f>13500-G128-K128</f>
        <v>5184.55</v>
      </c>
      <c r="M128" s="23"/>
      <c r="N128" s="23"/>
      <c r="O128" s="23"/>
      <c r="P128" s="23"/>
      <c r="Q128" s="23"/>
      <c r="R128" s="23">
        <f>G128+K128+L128</f>
        <v>13500</v>
      </c>
      <c r="S128" s="25">
        <f>R128*9</f>
        <v>121500</v>
      </c>
      <c r="T128" s="46"/>
    </row>
    <row r="129" spans="1:20" x14ac:dyDescent="0.25">
      <c r="A129" s="28"/>
      <c r="B129" s="50"/>
      <c r="C129" s="60"/>
      <c r="D129" s="60"/>
      <c r="E129" s="61"/>
      <c r="F129" s="60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2"/>
      <c r="T129" s="53"/>
    </row>
    <row r="130" spans="1:20" ht="21" customHeight="1" x14ac:dyDescent="0.25">
      <c r="A130" s="20"/>
      <c r="B130" s="63" t="s">
        <v>204</v>
      </c>
      <c r="C130" s="29"/>
      <c r="D130" s="29"/>
      <c r="E130" s="30"/>
      <c r="F130" s="29"/>
      <c r="G130" s="23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1"/>
      <c r="T130" s="53"/>
    </row>
    <row r="131" spans="1:20" ht="11.4" customHeight="1" x14ac:dyDescent="0.25">
      <c r="A131" s="20" t="s">
        <v>207</v>
      </c>
      <c r="B131" s="21" t="s">
        <v>206</v>
      </c>
      <c r="C131" s="22">
        <v>4.5</v>
      </c>
      <c r="D131" s="22">
        <v>14</v>
      </c>
      <c r="E131" s="23">
        <f>7732*C131</f>
        <v>34794</v>
      </c>
      <c r="F131" s="22"/>
      <c r="G131" s="23">
        <f t="shared" ref="G131:G137" si="52">E131+F131</f>
        <v>34794</v>
      </c>
      <c r="H131" s="23"/>
      <c r="I131" s="23"/>
      <c r="J131" s="23"/>
      <c r="K131" s="23">
        <f t="shared" ref="K131" si="53">G131*0.3</f>
        <v>10438.199999999999</v>
      </c>
      <c r="L131" s="23">
        <f>20000*C131-G131-K131</f>
        <v>44767.8</v>
      </c>
      <c r="M131" s="23"/>
      <c r="N131" s="23"/>
      <c r="O131" s="23"/>
      <c r="P131" s="23"/>
      <c r="Q131" s="23"/>
      <c r="R131" s="23">
        <f>G131+K131+L131+O131</f>
        <v>90000</v>
      </c>
      <c r="S131" s="25">
        <f>R131*9</f>
        <v>810000</v>
      </c>
    </row>
    <row r="132" spans="1:20" x14ac:dyDescent="0.25">
      <c r="A132" s="20" t="s">
        <v>209</v>
      </c>
      <c r="B132" s="21" t="s">
        <v>208</v>
      </c>
      <c r="C132" s="22">
        <v>1</v>
      </c>
      <c r="D132" s="22">
        <v>13</v>
      </c>
      <c r="E132" s="23">
        <v>7523</v>
      </c>
      <c r="F132" s="22"/>
      <c r="G132" s="23">
        <f t="shared" si="52"/>
        <v>7523</v>
      </c>
      <c r="H132" s="23"/>
      <c r="I132" s="23"/>
      <c r="J132" s="23"/>
      <c r="K132" s="23">
        <f>G132*0.3</f>
        <v>2256.9</v>
      </c>
      <c r="L132" s="23">
        <f>20000-G132-K132</f>
        <v>10220.1</v>
      </c>
      <c r="M132" s="23"/>
      <c r="N132" s="23"/>
      <c r="O132" s="23"/>
      <c r="P132" s="23"/>
      <c r="Q132" s="23"/>
      <c r="R132" s="23">
        <f>G132+K132+L132+O132</f>
        <v>20000</v>
      </c>
      <c r="S132" s="25">
        <f t="shared" ref="S132:S137" si="54">R132*9</f>
        <v>180000</v>
      </c>
    </row>
    <row r="133" spans="1:20" s="13" customFormat="1" x14ac:dyDescent="0.25">
      <c r="A133" s="20" t="s">
        <v>210</v>
      </c>
      <c r="B133" s="21" t="s">
        <v>112</v>
      </c>
      <c r="C133" s="22">
        <v>1</v>
      </c>
      <c r="D133" s="22">
        <v>12</v>
      </c>
      <c r="E133" s="23">
        <v>6773</v>
      </c>
      <c r="F133" s="22"/>
      <c r="G133" s="23">
        <f t="shared" si="52"/>
        <v>6773</v>
      </c>
      <c r="H133" s="23"/>
      <c r="I133" s="23"/>
      <c r="J133" s="23"/>
      <c r="K133" s="23">
        <f t="shared" ref="K133:K135" si="55">G133*0.3</f>
        <v>2031.8999999999999</v>
      </c>
      <c r="L133" s="23">
        <f t="shared" ref="L133" si="56">20000-G133-K133</f>
        <v>11195.1</v>
      </c>
      <c r="M133" s="23"/>
      <c r="N133" s="23"/>
      <c r="O133" s="23"/>
      <c r="P133" s="23"/>
      <c r="Q133" s="23"/>
      <c r="R133" s="23">
        <f>G133+K133+L133+O133</f>
        <v>20000</v>
      </c>
      <c r="S133" s="25">
        <f t="shared" si="54"/>
        <v>180000</v>
      </c>
    </row>
    <row r="134" spans="1:20" x14ac:dyDescent="0.25">
      <c r="A134" s="20" t="s">
        <v>213</v>
      </c>
      <c r="B134" s="21" t="s">
        <v>211</v>
      </c>
      <c r="C134" s="22">
        <v>5</v>
      </c>
      <c r="D134" s="22">
        <v>10</v>
      </c>
      <c r="E134" s="23">
        <f>5815*C134</f>
        <v>29075</v>
      </c>
      <c r="F134" s="22"/>
      <c r="G134" s="23">
        <f t="shared" si="52"/>
        <v>29075</v>
      </c>
      <c r="H134" s="23"/>
      <c r="I134" s="23">
        <f>G134*0.1</f>
        <v>2907.5</v>
      </c>
      <c r="J134" s="23"/>
      <c r="K134" s="23">
        <f t="shared" si="55"/>
        <v>8722.5</v>
      </c>
      <c r="L134" s="23">
        <f>13500*C134-G134-I134-K134</f>
        <v>26795</v>
      </c>
      <c r="M134" s="23"/>
      <c r="N134" s="23"/>
      <c r="O134" s="23"/>
      <c r="P134" s="23"/>
      <c r="Q134" s="23"/>
      <c r="R134" s="23">
        <f>G134+I134+K134+L134</f>
        <v>67500</v>
      </c>
      <c r="S134" s="25">
        <f t="shared" si="54"/>
        <v>607500</v>
      </c>
      <c r="T134" s="53"/>
    </row>
    <row r="135" spans="1:20" s="13" customFormat="1" x14ac:dyDescent="0.25">
      <c r="A135" s="20" t="s">
        <v>214</v>
      </c>
      <c r="B135" s="21" t="s">
        <v>91</v>
      </c>
      <c r="C135" s="22">
        <v>1</v>
      </c>
      <c r="D135" s="22">
        <v>10</v>
      </c>
      <c r="E135" s="23">
        <v>5815</v>
      </c>
      <c r="F135" s="22"/>
      <c r="G135" s="23">
        <f t="shared" si="52"/>
        <v>5815</v>
      </c>
      <c r="H135" s="23"/>
      <c r="I135" s="23"/>
      <c r="J135" s="23"/>
      <c r="K135" s="23">
        <f t="shared" si="55"/>
        <v>1744.5</v>
      </c>
      <c r="L135" s="23">
        <f t="shared" ref="L135:L136" si="57">13500-G135-K135</f>
        <v>5940.5</v>
      </c>
      <c r="M135" s="23"/>
      <c r="N135" s="23"/>
      <c r="O135" s="23"/>
      <c r="P135" s="23"/>
      <c r="Q135" s="23"/>
      <c r="R135" s="23">
        <f t="shared" ref="R135:R136" si="58">G135+K135+L135</f>
        <v>13500</v>
      </c>
      <c r="S135" s="25">
        <f t="shared" si="54"/>
        <v>121500</v>
      </c>
    </row>
    <row r="136" spans="1:20" x14ac:dyDescent="0.25">
      <c r="A136" s="20" t="s">
        <v>216</v>
      </c>
      <c r="B136" s="21" t="s">
        <v>215</v>
      </c>
      <c r="C136" s="22">
        <v>1</v>
      </c>
      <c r="D136" s="22">
        <v>10</v>
      </c>
      <c r="E136" s="23">
        <v>5815</v>
      </c>
      <c r="F136" s="22"/>
      <c r="G136" s="23">
        <f t="shared" si="52"/>
        <v>5815</v>
      </c>
      <c r="H136" s="23"/>
      <c r="I136" s="23"/>
      <c r="J136" s="23"/>
      <c r="K136" s="23">
        <f>G136*0.3</f>
        <v>1744.5</v>
      </c>
      <c r="L136" s="23">
        <f t="shared" si="57"/>
        <v>5940.5</v>
      </c>
      <c r="M136" s="23"/>
      <c r="N136" s="23"/>
      <c r="O136" s="23"/>
      <c r="P136" s="23"/>
      <c r="Q136" s="23"/>
      <c r="R136" s="23">
        <f t="shared" si="58"/>
        <v>13500</v>
      </c>
      <c r="S136" s="25">
        <f t="shared" si="54"/>
        <v>121500</v>
      </c>
    </row>
    <row r="137" spans="1:20" x14ac:dyDescent="0.25">
      <c r="A137" s="20" t="s">
        <v>218</v>
      </c>
      <c r="B137" s="21" t="s">
        <v>134</v>
      </c>
      <c r="C137" s="22">
        <v>2</v>
      </c>
      <c r="D137" s="22">
        <v>3</v>
      </c>
      <c r="E137" s="23">
        <f>3770*C137</f>
        <v>7540</v>
      </c>
      <c r="F137" s="22"/>
      <c r="G137" s="23">
        <f t="shared" si="52"/>
        <v>7540</v>
      </c>
      <c r="H137" s="23"/>
      <c r="I137" s="23">
        <f>G137*0.1</f>
        <v>754</v>
      </c>
      <c r="J137" s="23"/>
      <c r="K137" s="23"/>
      <c r="L137" s="23"/>
      <c r="M137" s="23"/>
      <c r="N137" s="23"/>
      <c r="O137" s="23"/>
      <c r="P137" s="23">
        <f>8000*C137-G137</f>
        <v>8460</v>
      </c>
      <c r="Q137" s="23"/>
      <c r="R137" s="23">
        <f>SUM(G137:Q137)</f>
        <v>16754</v>
      </c>
      <c r="S137" s="25">
        <f t="shared" si="54"/>
        <v>150786</v>
      </c>
    </row>
    <row r="138" spans="1:20" s="27" customFormat="1" ht="25.8" customHeight="1" thickBot="1" x14ac:dyDescent="0.3">
      <c r="A138" s="64"/>
      <c r="B138" s="47" t="s">
        <v>59</v>
      </c>
      <c r="C138" s="34">
        <f>SUM(C127:C137)</f>
        <v>17.5</v>
      </c>
      <c r="D138" s="34"/>
      <c r="E138" s="35">
        <f>SUM(E127:E137)</f>
        <v>110403</v>
      </c>
      <c r="F138" s="34">
        <f>SUM(F127:F137)</f>
        <v>2032.1000000000001</v>
      </c>
      <c r="G138" s="35">
        <f>SUM(G127:G137)</f>
        <v>112435.1</v>
      </c>
      <c r="H138" s="35"/>
      <c r="I138" s="35">
        <f>SUM(I127:I137)</f>
        <v>3661.5</v>
      </c>
      <c r="J138" s="35"/>
      <c r="K138" s="35">
        <f>SUM(K127:K137)</f>
        <v>31468.530000000002</v>
      </c>
      <c r="L138" s="35">
        <f>SUM(L127:L137)</f>
        <v>118728.87000000001</v>
      </c>
      <c r="M138" s="35">
        <f>SUM(M137:M137)</f>
        <v>0</v>
      </c>
      <c r="N138" s="35"/>
      <c r="O138" s="35">
        <f>SUM(O132:O137)</f>
        <v>0</v>
      </c>
      <c r="P138" s="35">
        <f>SUM(P137:P137)</f>
        <v>8460</v>
      </c>
      <c r="Q138" s="35"/>
      <c r="R138" s="35">
        <f>SUM(R127:R137)</f>
        <v>274754</v>
      </c>
      <c r="S138" s="36">
        <f>SUM(S127:S137)</f>
        <v>2472786</v>
      </c>
    </row>
    <row r="139" spans="1:20" ht="27.6" customHeight="1" x14ac:dyDescent="0.25">
      <c r="A139" s="15"/>
      <c r="B139" s="55" t="s">
        <v>217</v>
      </c>
      <c r="C139" s="85"/>
      <c r="D139" s="85"/>
      <c r="E139" s="94"/>
      <c r="F139" s="85"/>
      <c r="G139" s="94"/>
      <c r="H139" s="94"/>
      <c r="I139" s="94"/>
      <c r="J139" s="94"/>
      <c r="K139" s="94"/>
      <c r="L139" s="94"/>
      <c r="M139" s="94"/>
      <c r="N139" s="94"/>
      <c r="O139" s="94"/>
      <c r="P139" s="94"/>
      <c r="Q139" s="94"/>
      <c r="R139" s="94"/>
      <c r="S139" s="110"/>
    </row>
    <row r="140" spans="1:20" x14ac:dyDescent="0.25">
      <c r="A140" s="20" t="s">
        <v>221</v>
      </c>
      <c r="B140" s="21" t="s">
        <v>219</v>
      </c>
      <c r="C140" s="22">
        <v>6</v>
      </c>
      <c r="D140" s="22">
        <v>10</v>
      </c>
      <c r="E140" s="23">
        <f>5815*C140</f>
        <v>34890</v>
      </c>
      <c r="F140" s="22"/>
      <c r="G140" s="23">
        <f t="shared" ref="G140:G141" si="59">E140+F140</f>
        <v>34890</v>
      </c>
      <c r="H140" s="23"/>
      <c r="I140" s="23"/>
      <c r="J140" s="23"/>
      <c r="K140" s="23">
        <f t="shared" ref="K140" si="60">G140*0.3</f>
        <v>10467</v>
      </c>
      <c r="L140" s="23">
        <f>13500*C140-G140-K140-N140</f>
        <v>31556.22</v>
      </c>
      <c r="M140" s="23"/>
      <c r="N140" s="23">
        <f>681.13*C140</f>
        <v>4086.7799999999997</v>
      </c>
      <c r="O140" s="23"/>
      <c r="P140" s="23"/>
      <c r="Q140" s="23"/>
      <c r="R140" s="23">
        <f t="shared" ref="R140" si="61">G140+K140+L140+N140</f>
        <v>81000</v>
      </c>
      <c r="S140" s="25">
        <f>R140*9</f>
        <v>729000</v>
      </c>
    </row>
    <row r="141" spans="1:20" x14ac:dyDescent="0.25">
      <c r="A141" s="20" t="s">
        <v>223</v>
      </c>
      <c r="B141" s="21" t="s">
        <v>78</v>
      </c>
      <c r="C141" s="22">
        <v>5</v>
      </c>
      <c r="D141" s="22">
        <v>4</v>
      </c>
      <c r="E141" s="23">
        <f>4058*C141</f>
        <v>20290</v>
      </c>
      <c r="F141" s="22"/>
      <c r="G141" s="23">
        <f t="shared" si="59"/>
        <v>20290</v>
      </c>
      <c r="H141" s="23"/>
      <c r="I141" s="23"/>
      <c r="J141" s="23"/>
      <c r="K141" s="23"/>
      <c r="L141" s="23"/>
      <c r="M141" s="23"/>
      <c r="N141" s="23">
        <f>475.33*C141</f>
        <v>2376.65</v>
      </c>
      <c r="O141" s="23"/>
      <c r="P141" s="23">
        <f>8000*C141-G141</f>
        <v>19710</v>
      </c>
      <c r="Q141" s="23"/>
      <c r="R141" s="23">
        <f>E141+P141+N141</f>
        <v>42376.65</v>
      </c>
      <c r="S141" s="25">
        <f>R141*9</f>
        <v>381389.85000000003</v>
      </c>
    </row>
    <row r="142" spans="1:20" s="27" customFormat="1" ht="22.2" customHeight="1" thickBot="1" x14ac:dyDescent="0.3">
      <c r="A142" s="64"/>
      <c r="B142" s="47" t="s">
        <v>59</v>
      </c>
      <c r="C142" s="34">
        <f>SUM(C140:C141)</f>
        <v>11</v>
      </c>
      <c r="D142" s="34"/>
      <c r="E142" s="35">
        <f>SUM(E140:E141)</f>
        <v>55180</v>
      </c>
      <c r="F142" s="34"/>
      <c r="G142" s="35">
        <f>SUM(G140:G141)</f>
        <v>55180</v>
      </c>
      <c r="H142" s="35"/>
      <c r="I142" s="35"/>
      <c r="J142" s="35"/>
      <c r="K142" s="35">
        <f>SUM(K140:K141)</f>
        <v>10467</v>
      </c>
      <c r="L142" s="35">
        <f>SUM(L140:L141)</f>
        <v>31556.22</v>
      </c>
      <c r="M142" s="35"/>
      <c r="N142" s="35">
        <f>SUM(N140:N141)</f>
        <v>6463.43</v>
      </c>
      <c r="O142" s="35"/>
      <c r="P142" s="35">
        <f>SUM(P140:P141)</f>
        <v>19710</v>
      </c>
      <c r="Q142" s="35"/>
      <c r="R142" s="35">
        <f>SUM(R140:R141)</f>
        <v>123376.65</v>
      </c>
      <c r="S142" s="36">
        <f>SUM(S140:S141)</f>
        <v>1110389.8500000001</v>
      </c>
    </row>
    <row r="143" spans="1:20" ht="29.4" customHeight="1" x14ac:dyDescent="0.25">
      <c r="A143" s="15"/>
      <c r="B143" s="55" t="s">
        <v>222</v>
      </c>
      <c r="C143" s="85"/>
      <c r="D143" s="85"/>
      <c r="E143" s="94"/>
      <c r="F143" s="85"/>
      <c r="G143" s="94"/>
      <c r="H143" s="94"/>
      <c r="I143" s="94"/>
      <c r="J143" s="94"/>
      <c r="K143" s="94"/>
      <c r="L143" s="94"/>
      <c r="M143" s="94"/>
      <c r="N143" s="94"/>
      <c r="O143" s="94"/>
      <c r="P143" s="94"/>
      <c r="Q143" s="94"/>
      <c r="R143" s="94"/>
      <c r="S143" s="110"/>
    </row>
    <row r="144" spans="1:20" x14ac:dyDescent="0.25">
      <c r="A144" s="20" t="s">
        <v>224</v>
      </c>
      <c r="B144" s="21" t="s">
        <v>206</v>
      </c>
      <c r="C144" s="22">
        <v>1</v>
      </c>
      <c r="D144" s="22">
        <v>12</v>
      </c>
      <c r="E144" s="23">
        <f>6773*C144</f>
        <v>6773</v>
      </c>
      <c r="F144" s="22">
        <f>E144*0.1</f>
        <v>677.30000000000007</v>
      </c>
      <c r="G144" s="23">
        <f t="shared" ref="G144:G149" si="62">E144+F144</f>
        <v>7450.3</v>
      </c>
      <c r="H144" s="23"/>
      <c r="I144" s="23"/>
      <c r="J144" s="23"/>
      <c r="K144" s="23">
        <f>G144*0.3</f>
        <v>2235.09</v>
      </c>
      <c r="L144" s="23">
        <f>20000*C144-G144-K144</f>
        <v>10314.61</v>
      </c>
      <c r="M144" s="23"/>
      <c r="N144" s="23"/>
      <c r="O144" s="23"/>
      <c r="P144" s="23"/>
      <c r="Q144" s="23"/>
      <c r="R144" s="23">
        <f>G144+K144+L144</f>
        <v>20000</v>
      </c>
      <c r="S144" s="25">
        <f>R144*9</f>
        <v>180000</v>
      </c>
    </row>
    <row r="145" spans="1:20" x14ac:dyDescent="0.25">
      <c r="A145" s="20" t="s">
        <v>225</v>
      </c>
      <c r="B145" s="21" t="s">
        <v>91</v>
      </c>
      <c r="C145" s="22">
        <v>1</v>
      </c>
      <c r="D145" s="22">
        <v>7</v>
      </c>
      <c r="E145" s="23">
        <v>4920</v>
      </c>
      <c r="F145" s="22"/>
      <c r="G145" s="23">
        <f t="shared" si="62"/>
        <v>4920</v>
      </c>
      <c r="H145" s="23"/>
      <c r="I145" s="23"/>
      <c r="J145" s="23"/>
      <c r="K145" s="23">
        <f>G145*0.3</f>
        <v>1476</v>
      </c>
      <c r="L145" s="23">
        <f>13500-G145-K145</f>
        <v>7104</v>
      </c>
      <c r="M145" s="23"/>
      <c r="N145" s="23"/>
      <c r="O145" s="23"/>
      <c r="P145" s="23"/>
      <c r="Q145" s="23"/>
      <c r="R145" s="23">
        <f>G145+K145+L145</f>
        <v>13500</v>
      </c>
      <c r="S145" s="25">
        <f>R145*9</f>
        <v>121500</v>
      </c>
    </row>
    <row r="146" spans="1:20" x14ac:dyDescent="0.25">
      <c r="A146" s="20" t="s">
        <v>226</v>
      </c>
      <c r="B146" s="21" t="s">
        <v>134</v>
      </c>
      <c r="C146" s="22">
        <v>1</v>
      </c>
      <c r="D146" s="22">
        <v>3</v>
      </c>
      <c r="E146" s="23">
        <v>3770</v>
      </c>
      <c r="F146" s="22"/>
      <c r="G146" s="23">
        <f t="shared" si="62"/>
        <v>3770</v>
      </c>
      <c r="H146" s="23"/>
      <c r="I146" s="23">
        <f>G146*0.1</f>
        <v>377</v>
      </c>
      <c r="J146" s="23"/>
      <c r="K146" s="23"/>
      <c r="L146" s="23"/>
      <c r="M146" s="23"/>
      <c r="N146" s="23"/>
      <c r="O146" s="23"/>
      <c r="P146" s="23">
        <f>8000-G146</f>
        <v>4230</v>
      </c>
      <c r="Q146" s="23"/>
      <c r="R146" s="23">
        <f>SUM(G146:Q146)</f>
        <v>8377</v>
      </c>
      <c r="S146" s="25">
        <f>R146*9</f>
        <v>75393</v>
      </c>
    </row>
    <row r="147" spans="1:20" x14ac:dyDescent="0.25">
      <c r="A147" s="20" t="s">
        <v>228</v>
      </c>
      <c r="B147" s="21" t="s">
        <v>227</v>
      </c>
      <c r="C147" s="22">
        <v>1.75</v>
      </c>
      <c r="D147" s="22">
        <v>1</v>
      </c>
      <c r="E147" s="23">
        <f>3195*C147</f>
        <v>5591.25</v>
      </c>
      <c r="F147" s="22"/>
      <c r="G147" s="23">
        <f t="shared" si="62"/>
        <v>5591.25</v>
      </c>
      <c r="H147" s="23"/>
      <c r="I147" s="23"/>
      <c r="J147" s="23"/>
      <c r="K147" s="23"/>
      <c r="L147" s="23"/>
      <c r="M147" s="23"/>
      <c r="N147" s="23"/>
      <c r="O147" s="23"/>
      <c r="P147" s="23">
        <f>8000*C147-G147</f>
        <v>8408.75</v>
      </c>
      <c r="Q147" s="23"/>
      <c r="R147" s="23">
        <f>SUM(G147:Q147)</f>
        <v>14000</v>
      </c>
      <c r="S147" s="25">
        <f>R147*3</f>
        <v>42000</v>
      </c>
    </row>
    <row r="148" spans="1:20" s="38" customFormat="1" x14ac:dyDescent="0.25">
      <c r="A148" s="20" t="s">
        <v>231</v>
      </c>
      <c r="B148" s="21" t="s">
        <v>229</v>
      </c>
      <c r="C148" s="22">
        <v>0.5</v>
      </c>
      <c r="D148" s="22">
        <v>1</v>
      </c>
      <c r="E148" s="23">
        <v>1597.5</v>
      </c>
      <c r="F148" s="22"/>
      <c r="G148" s="23">
        <f t="shared" si="62"/>
        <v>1597.5</v>
      </c>
      <c r="H148" s="23"/>
      <c r="I148" s="23"/>
      <c r="J148" s="23"/>
      <c r="K148" s="23"/>
      <c r="L148" s="23"/>
      <c r="M148" s="23"/>
      <c r="N148" s="23"/>
      <c r="O148" s="23"/>
      <c r="P148" s="23">
        <f>4000-G148</f>
        <v>2402.5</v>
      </c>
      <c r="Q148" s="23"/>
      <c r="R148" s="23">
        <f>SUM(G148:Q148)</f>
        <v>4000</v>
      </c>
      <c r="S148" s="25">
        <f>R148*9</f>
        <v>36000</v>
      </c>
    </row>
    <row r="149" spans="1:20" s="27" customFormat="1" ht="27" customHeight="1" thickBot="1" x14ac:dyDescent="0.3">
      <c r="A149" s="64"/>
      <c r="B149" s="47" t="s">
        <v>59</v>
      </c>
      <c r="C149" s="34">
        <f>SUM(C144:C148)</f>
        <v>5.25</v>
      </c>
      <c r="D149" s="34"/>
      <c r="E149" s="35">
        <f>SUM(E144:E148)</f>
        <v>22651.75</v>
      </c>
      <c r="F149" s="34">
        <f>SUM(F144:F148)</f>
        <v>677.30000000000007</v>
      </c>
      <c r="G149" s="35">
        <f t="shared" si="62"/>
        <v>23329.05</v>
      </c>
      <c r="H149" s="35"/>
      <c r="I149" s="35">
        <f>SUM(I146:I148)</f>
        <v>377</v>
      </c>
      <c r="J149" s="35"/>
      <c r="K149" s="35">
        <f>SUM(K144:K148)</f>
        <v>3711.09</v>
      </c>
      <c r="L149" s="35">
        <f>SUM(L144:L148)</f>
        <v>17418.61</v>
      </c>
      <c r="M149" s="35"/>
      <c r="N149" s="35"/>
      <c r="O149" s="35"/>
      <c r="P149" s="35">
        <f>SUM(P144:P148)</f>
        <v>15041.25</v>
      </c>
      <c r="Q149" s="35"/>
      <c r="R149" s="35">
        <f>SUM(R144:R148)</f>
        <v>59877</v>
      </c>
      <c r="S149" s="36">
        <f>SUM(S144:S148)</f>
        <v>454893</v>
      </c>
    </row>
    <row r="150" spans="1:20" ht="23.4" customHeight="1" x14ac:dyDescent="0.25">
      <c r="A150" s="15"/>
      <c r="B150" s="55" t="s">
        <v>230</v>
      </c>
      <c r="C150" s="85"/>
      <c r="D150" s="85"/>
      <c r="E150" s="94"/>
      <c r="F150" s="85"/>
      <c r="G150" s="94"/>
      <c r="H150" s="94"/>
      <c r="I150" s="94"/>
      <c r="J150" s="94"/>
      <c r="K150" s="94"/>
      <c r="L150" s="94"/>
      <c r="M150" s="94"/>
      <c r="N150" s="94"/>
      <c r="O150" s="94"/>
      <c r="P150" s="94"/>
      <c r="Q150" s="94"/>
      <c r="R150" s="94"/>
      <c r="S150" s="110"/>
    </row>
    <row r="151" spans="1:20" x14ac:dyDescent="0.25">
      <c r="A151" s="20" t="s">
        <v>233</v>
      </c>
      <c r="B151" s="21" t="s">
        <v>232</v>
      </c>
      <c r="C151" s="22">
        <v>1.25</v>
      </c>
      <c r="D151" s="22">
        <v>13</v>
      </c>
      <c r="E151" s="23">
        <f>7253*C151</f>
        <v>9066.25</v>
      </c>
      <c r="F151" s="22">
        <f>E151*0.1</f>
        <v>906.625</v>
      </c>
      <c r="G151" s="23">
        <f t="shared" ref="G151:G155" si="63">E151+F151</f>
        <v>9972.875</v>
      </c>
      <c r="H151" s="23"/>
      <c r="I151" s="23"/>
      <c r="J151" s="23"/>
      <c r="K151" s="23">
        <f>G151*0.3</f>
        <v>2991.8624999999997</v>
      </c>
      <c r="L151" s="23">
        <f>20000*C151-G151-K151</f>
        <v>12035.262500000001</v>
      </c>
      <c r="M151" s="23"/>
      <c r="N151" s="23"/>
      <c r="O151" s="23"/>
      <c r="P151" s="23"/>
      <c r="Q151" s="23"/>
      <c r="R151" s="23">
        <f>G151+K151+L151+O151</f>
        <v>25000</v>
      </c>
      <c r="S151" s="25">
        <f>R151*9</f>
        <v>225000</v>
      </c>
    </row>
    <row r="152" spans="1:20" x14ac:dyDescent="0.25">
      <c r="A152" s="20" t="s">
        <v>234</v>
      </c>
      <c r="B152" s="21" t="s">
        <v>212</v>
      </c>
      <c r="C152" s="22">
        <v>2</v>
      </c>
      <c r="D152" s="22">
        <v>10</v>
      </c>
      <c r="E152" s="23">
        <f>5815*C152</f>
        <v>11630</v>
      </c>
      <c r="F152" s="22"/>
      <c r="G152" s="23">
        <f t="shared" si="63"/>
        <v>11630</v>
      </c>
      <c r="H152" s="23"/>
      <c r="I152" s="23"/>
      <c r="J152" s="23"/>
      <c r="K152" s="23">
        <f t="shared" ref="K152:K153" si="64">G152*0.3</f>
        <v>3489</v>
      </c>
      <c r="L152" s="23">
        <f>13500*C152-G152-K152</f>
        <v>11881</v>
      </c>
      <c r="M152" s="23"/>
      <c r="N152" s="23"/>
      <c r="O152" s="23"/>
      <c r="P152" s="23"/>
      <c r="Q152" s="23"/>
      <c r="R152" s="23">
        <f>G152+K152+L152</f>
        <v>27000</v>
      </c>
      <c r="S152" s="25">
        <f t="shared" ref="S152:S154" si="65">R152*9</f>
        <v>243000</v>
      </c>
    </row>
    <row r="153" spans="1:20" s="13" customFormat="1" x14ac:dyDescent="0.25">
      <c r="A153" s="20" t="s">
        <v>236</v>
      </c>
      <c r="B153" s="21" t="s">
        <v>235</v>
      </c>
      <c r="C153" s="22">
        <v>1</v>
      </c>
      <c r="D153" s="22">
        <v>7</v>
      </c>
      <c r="E153" s="23">
        <v>4920</v>
      </c>
      <c r="F153" s="22"/>
      <c r="G153" s="23">
        <f t="shared" si="63"/>
        <v>4920</v>
      </c>
      <c r="H153" s="23"/>
      <c r="I153" s="23"/>
      <c r="J153" s="23"/>
      <c r="K153" s="23">
        <f t="shared" si="64"/>
        <v>1476</v>
      </c>
      <c r="L153" s="23">
        <f>13500-G153-K153</f>
        <v>7104</v>
      </c>
      <c r="M153" s="23"/>
      <c r="N153" s="23"/>
      <c r="O153" s="23"/>
      <c r="P153" s="23"/>
      <c r="Q153" s="23"/>
      <c r="R153" s="23">
        <f>G153+L153+K153</f>
        <v>13500</v>
      </c>
      <c r="S153" s="25">
        <f t="shared" si="65"/>
        <v>121500</v>
      </c>
    </row>
    <row r="154" spans="1:20" s="38" customFormat="1" x14ac:dyDescent="0.25">
      <c r="A154" s="20" t="s">
        <v>238</v>
      </c>
      <c r="B154" s="21" t="s">
        <v>134</v>
      </c>
      <c r="C154" s="22">
        <v>1</v>
      </c>
      <c r="D154" s="22">
        <v>3</v>
      </c>
      <c r="E154" s="23">
        <v>3770</v>
      </c>
      <c r="F154" s="22"/>
      <c r="G154" s="23">
        <f t="shared" si="63"/>
        <v>3770</v>
      </c>
      <c r="H154" s="23"/>
      <c r="I154" s="23">
        <f>G154*0.1</f>
        <v>377</v>
      </c>
      <c r="J154" s="23"/>
      <c r="K154" s="23"/>
      <c r="L154" s="23"/>
      <c r="M154" s="23"/>
      <c r="N154" s="23"/>
      <c r="O154" s="23"/>
      <c r="P154" s="23">
        <f>8000-G154</f>
        <v>4230</v>
      </c>
      <c r="Q154" s="23"/>
      <c r="R154" s="23">
        <f>G154+I154+P154</f>
        <v>8377</v>
      </c>
      <c r="S154" s="25">
        <f t="shared" si="65"/>
        <v>75393</v>
      </c>
      <c r="T154" s="46"/>
    </row>
    <row r="155" spans="1:20" s="27" customFormat="1" ht="27" customHeight="1" thickBot="1" x14ac:dyDescent="0.3">
      <c r="A155" s="64"/>
      <c r="B155" s="47" t="s">
        <v>59</v>
      </c>
      <c r="C155" s="34">
        <f>SUM(C151:C154)</f>
        <v>5.25</v>
      </c>
      <c r="D155" s="34"/>
      <c r="E155" s="35">
        <f>SUM(E151:E154)</f>
        <v>29386.25</v>
      </c>
      <c r="F155" s="34">
        <f>SUM(F151:F154)</f>
        <v>906.625</v>
      </c>
      <c r="G155" s="35">
        <f t="shared" si="63"/>
        <v>30292.875</v>
      </c>
      <c r="H155" s="35"/>
      <c r="I155" s="35">
        <f>SUM(I154)</f>
        <v>377</v>
      </c>
      <c r="J155" s="35"/>
      <c r="K155" s="35">
        <f>SUM(K151:K154)</f>
        <v>7956.8624999999993</v>
      </c>
      <c r="L155" s="35">
        <f>SUM(L151:L154)</f>
        <v>31020.262500000001</v>
      </c>
      <c r="M155" s="35">
        <f>SUM(M151:M153)</f>
        <v>0</v>
      </c>
      <c r="N155" s="35"/>
      <c r="O155" s="35">
        <f>SUM(O151:O154)</f>
        <v>0</v>
      </c>
      <c r="P155" s="35">
        <f>SUM(P154)</f>
        <v>4230</v>
      </c>
      <c r="Q155" s="35"/>
      <c r="R155" s="35">
        <f>SUM(R151:R154)</f>
        <v>73877</v>
      </c>
      <c r="S155" s="36">
        <f>SUM(S151:S154)</f>
        <v>664893</v>
      </c>
    </row>
    <row r="156" spans="1:20" ht="24.6" customHeight="1" x14ac:dyDescent="0.25">
      <c r="A156" s="15"/>
      <c r="B156" s="55" t="s">
        <v>237</v>
      </c>
      <c r="C156" s="85"/>
      <c r="D156" s="85"/>
      <c r="E156" s="94"/>
      <c r="F156" s="85"/>
      <c r="G156" s="94"/>
      <c r="H156" s="94"/>
      <c r="I156" s="94"/>
      <c r="J156" s="94"/>
      <c r="K156" s="94"/>
      <c r="L156" s="94"/>
      <c r="M156" s="94"/>
      <c r="N156" s="94"/>
      <c r="O156" s="94"/>
      <c r="P156" s="94"/>
      <c r="Q156" s="94"/>
      <c r="R156" s="94"/>
      <c r="S156" s="110"/>
    </row>
    <row r="157" spans="1:20" x14ac:dyDescent="0.25">
      <c r="A157" s="20" t="s">
        <v>239</v>
      </c>
      <c r="B157" s="21" t="s">
        <v>206</v>
      </c>
      <c r="C157" s="22">
        <v>2</v>
      </c>
      <c r="D157" s="22">
        <v>11</v>
      </c>
      <c r="E157" s="23">
        <f>6294*C157</f>
        <v>12588</v>
      </c>
      <c r="F157" s="22">
        <f>E157*0.1</f>
        <v>1258.8000000000002</v>
      </c>
      <c r="G157" s="23">
        <f t="shared" ref="G157:G162" si="66">E157+F157</f>
        <v>13846.8</v>
      </c>
      <c r="H157" s="23"/>
      <c r="I157" s="23"/>
      <c r="J157" s="23"/>
      <c r="K157" s="23">
        <f>G157*0.3</f>
        <v>4154.04</v>
      </c>
      <c r="L157" s="23">
        <f>20000*C157-G157-K157</f>
        <v>21999.16</v>
      </c>
      <c r="M157" s="23"/>
      <c r="N157" s="23"/>
      <c r="O157" s="23"/>
      <c r="P157" s="23"/>
      <c r="Q157" s="23"/>
      <c r="R157" s="23">
        <f>SUM(G157:Q157)</f>
        <v>40000</v>
      </c>
      <c r="S157" s="25">
        <f>R157*9</f>
        <v>360000</v>
      </c>
    </row>
    <row r="158" spans="1:20" x14ac:dyDescent="0.25">
      <c r="A158" s="20" t="s">
        <v>240</v>
      </c>
      <c r="B158" s="21" t="s">
        <v>241</v>
      </c>
      <c r="C158" s="22">
        <v>2</v>
      </c>
      <c r="D158" s="22">
        <v>10</v>
      </c>
      <c r="E158" s="23">
        <f>5815*C158</f>
        <v>11630</v>
      </c>
      <c r="F158" s="22"/>
      <c r="G158" s="23">
        <f t="shared" si="66"/>
        <v>11630</v>
      </c>
      <c r="H158" s="23"/>
      <c r="I158" s="23"/>
      <c r="J158" s="23"/>
      <c r="K158" s="23">
        <f t="shared" ref="K158:K159" si="67">G158*0.3</f>
        <v>3489</v>
      </c>
      <c r="L158" s="23">
        <f>13500*C158-G158-K158</f>
        <v>11881</v>
      </c>
      <c r="M158" s="23"/>
      <c r="N158" s="23"/>
      <c r="O158" s="23"/>
      <c r="P158" s="23"/>
      <c r="Q158" s="23"/>
      <c r="R158" s="23">
        <f>G158+K158+L158</f>
        <v>27000</v>
      </c>
      <c r="S158" s="25">
        <f>R158*9</f>
        <v>243000</v>
      </c>
    </row>
    <row r="159" spans="1:20" s="13" customFormat="1" x14ac:dyDescent="0.25">
      <c r="A159" s="20" t="s">
        <v>242</v>
      </c>
      <c r="B159" s="21" t="s">
        <v>91</v>
      </c>
      <c r="C159" s="22">
        <v>2</v>
      </c>
      <c r="D159" s="22">
        <v>9</v>
      </c>
      <c r="E159" s="23">
        <f>5527*C159</f>
        <v>11054</v>
      </c>
      <c r="F159" s="22"/>
      <c r="G159" s="23">
        <f t="shared" si="66"/>
        <v>11054</v>
      </c>
      <c r="H159" s="23"/>
      <c r="I159" s="23"/>
      <c r="J159" s="23"/>
      <c r="K159" s="23">
        <f t="shared" si="67"/>
        <v>3316.2</v>
      </c>
      <c r="L159" s="23">
        <f>13500*C159-G159-K159</f>
        <v>12629.8</v>
      </c>
      <c r="M159" s="23"/>
      <c r="N159" s="23"/>
      <c r="O159" s="23"/>
      <c r="P159" s="23"/>
      <c r="Q159" s="23"/>
      <c r="R159" s="23">
        <f>G159+K159+L159</f>
        <v>27000</v>
      </c>
      <c r="S159" s="25">
        <f>R159*9</f>
        <v>243000</v>
      </c>
    </row>
    <row r="160" spans="1:20" x14ac:dyDescent="0.25">
      <c r="A160" s="20" t="s">
        <v>243</v>
      </c>
      <c r="B160" s="21" t="s">
        <v>134</v>
      </c>
      <c r="C160" s="22">
        <v>1</v>
      </c>
      <c r="D160" s="22">
        <v>3</v>
      </c>
      <c r="E160" s="23">
        <v>3770</v>
      </c>
      <c r="F160" s="22"/>
      <c r="G160" s="23">
        <f t="shared" si="66"/>
        <v>3770</v>
      </c>
      <c r="H160" s="23"/>
      <c r="I160" s="23">
        <f>G160*0.1</f>
        <v>377</v>
      </c>
      <c r="J160" s="23"/>
      <c r="K160" s="23"/>
      <c r="L160" s="23"/>
      <c r="M160" s="23"/>
      <c r="N160" s="23"/>
      <c r="O160" s="23"/>
      <c r="P160" s="23">
        <f>8000-G160</f>
        <v>4230</v>
      </c>
      <c r="Q160" s="23"/>
      <c r="R160" s="23">
        <f>SUM(G160:Q160)</f>
        <v>8377</v>
      </c>
      <c r="S160" s="25">
        <f>R160*9</f>
        <v>75393</v>
      </c>
    </row>
    <row r="161" spans="1:20" s="38" customFormat="1" x14ac:dyDescent="0.25">
      <c r="A161" s="20" t="s">
        <v>244</v>
      </c>
      <c r="B161" s="21" t="s">
        <v>245</v>
      </c>
      <c r="C161" s="22">
        <v>1</v>
      </c>
      <c r="D161" s="22">
        <v>5</v>
      </c>
      <c r="E161" s="23">
        <v>4345</v>
      </c>
      <c r="F161" s="22"/>
      <c r="G161" s="23">
        <f t="shared" si="66"/>
        <v>4345</v>
      </c>
      <c r="H161" s="23"/>
      <c r="I161" s="23"/>
      <c r="J161" s="23"/>
      <c r="K161" s="23"/>
      <c r="L161" s="23"/>
      <c r="M161" s="23"/>
      <c r="N161" s="23"/>
      <c r="O161" s="23"/>
      <c r="P161" s="23">
        <f>8000-G161</f>
        <v>3655</v>
      </c>
      <c r="Q161" s="23"/>
      <c r="R161" s="23">
        <f>G161+P161</f>
        <v>8000</v>
      </c>
      <c r="S161" s="25">
        <f>R161*9</f>
        <v>72000</v>
      </c>
    </row>
    <row r="162" spans="1:20" s="27" customFormat="1" ht="24.6" customHeight="1" thickBot="1" x14ac:dyDescent="0.3">
      <c r="A162" s="64"/>
      <c r="B162" s="47" t="s">
        <v>59</v>
      </c>
      <c r="C162" s="34">
        <f>SUM(C157:C161)</f>
        <v>8</v>
      </c>
      <c r="D162" s="34"/>
      <c r="E162" s="35">
        <f>SUM(E157:E161)</f>
        <v>43387</v>
      </c>
      <c r="F162" s="34">
        <f>SUM(F157:F161)</f>
        <v>1258.8000000000002</v>
      </c>
      <c r="G162" s="35">
        <f t="shared" si="66"/>
        <v>44645.8</v>
      </c>
      <c r="H162" s="35"/>
      <c r="I162" s="35">
        <f>SUM(I160:I161)</f>
        <v>377</v>
      </c>
      <c r="J162" s="35"/>
      <c r="K162" s="35">
        <f>SUM(K157:K161)</f>
        <v>10959.24</v>
      </c>
      <c r="L162" s="35">
        <f>SUM(L157:L161)</f>
        <v>46509.960000000006</v>
      </c>
      <c r="M162" s="35" t="e">
        <f>M157+#REF!</f>
        <v>#REF!</v>
      </c>
      <c r="N162" s="35"/>
      <c r="O162" s="35">
        <f>SUM(O157:O161)</f>
        <v>0</v>
      </c>
      <c r="P162" s="35">
        <f>SUM(P160:P161)</f>
        <v>7885</v>
      </c>
      <c r="Q162" s="35"/>
      <c r="R162" s="35">
        <f>SUM(R157:R161)</f>
        <v>110377</v>
      </c>
      <c r="S162" s="36">
        <f>SUM(S157:S161)</f>
        <v>993393</v>
      </c>
    </row>
    <row r="163" spans="1:20" s="13" customFormat="1" ht="25.8" customHeight="1" x14ac:dyDescent="0.2">
      <c r="A163" s="18"/>
      <c r="B163" s="55" t="s">
        <v>246</v>
      </c>
      <c r="C163" s="85"/>
      <c r="D163" s="85"/>
      <c r="E163" s="94"/>
      <c r="F163" s="85"/>
      <c r="G163" s="94"/>
      <c r="H163" s="94"/>
      <c r="I163" s="94"/>
      <c r="J163" s="94"/>
      <c r="K163" s="94"/>
      <c r="L163" s="94"/>
      <c r="M163" s="94"/>
      <c r="N163" s="94"/>
      <c r="O163" s="94"/>
      <c r="P163" s="94"/>
      <c r="Q163" s="94"/>
      <c r="R163" s="94"/>
      <c r="S163" s="110"/>
    </row>
    <row r="164" spans="1:20" x14ac:dyDescent="0.25">
      <c r="A164" s="20" t="s">
        <v>247</v>
      </c>
      <c r="B164" s="21" t="s">
        <v>232</v>
      </c>
      <c r="C164" s="22">
        <v>1.25</v>
      </c>
      <c r="D164" s="22">
        <v>11</v>
      </c>
      <c r="E164" s="23">
        <f>6294*C164</f>
        <v>7867.5</v>
      </c>
      <c r="F164" s="22">
        <f>E164*0.1</f>
        <v>786.75</v>
      </c>
      <c r="G164" s="23">
        <f t="shared" ref="G164:G167" si="68">E164+F164</f>
        <v>8654.25</v>
      </c>
      <c r="H164" s="23"/>
      <c r="I164" s="23"/>
      <c r="J164" s="23"/>
      <c r="K164" s="23">
        <f>G164*0.3</f>
        <v>2596.2750000000001</v>
      </c>
      <c r="L164" s="23">
        <f>20000*C164-G164-K164</f>
        <v>13749.475</v>
      </c>
      <c r="M164" s="23"/>
      <c r="N164" s="23"/>
      <c r="O164" s="23"/>
      <c r="P164" s="23"/>
      <c r="Q164" s="23"/>
      <c r="R164" s="23">
        <f>G164+K164+L164+O164</f>
        <v>25000</v>
      </c>
      <c r="S164" s="25">
        <f>R164*9</f>
        <v>225000</v>
      </c>
      <c r="T164" s="53"/>
    </row>
    <row r="165" spans="1:20" x14ac:dyDescent="0.25">
      <c r="A165" s="20" t="s">
        <v>248</v>
      </c>
      <c r="B165" s="21" t="s">
        <v>235</v>
      </c>
      <c r="C165" s="22">
        <v>1</v>
      </c>
      <c r="D165" s="22">
        <v>10</v>
      </c>
      <c r="E165" s="23">
        <v>5815</v>
      </c>
      <c r="F165" s="22"/>
      <c r="G165" s="23">
        <f t="shared" si="68"/>
        <v>5815</v>
      </c>
      <c r="H165" s="23"/>
      <c r="I165" s="23"/>
      <c r="J165" s="23"/>
      <c r="K165" s="23">
        <f t="shared" ref="K165:K166" si="69">G165*0.3</f>
        <v>1744.5</v>
      </c>
      <c r="L165" s="23">
        <f>13500-G165-K165</f>
        <v>5940.5</v>
      </c>
      <c r="M165" s="23"/>
      <c r="N165" s="23"/>
      <c r="O165" s="23"/>
      <c r="P165" s="23"/>
      <c r="Q165" s="23"/>
      <c r="R165" s="23">
        <f>G165+K165+L165</f>
        <v>13500</v>
      </c>
      <c r="S165" s="25">
        <f>R165*9</f>
        <v>121500</v>
      </c>
    </row>
    <row r="166" spans="1:20" x14ac:dyDescent="0.25">
      <c r="A166" s="20" t="s">
        <v>249</v>
      </c>
      <c r="B166" s="21" t="s">
        <v>91</v>
      </c>
      <c r="C166" s="22">
        <v>0.5</v>
      </c>
      <c r="D166" s="22">
        <v>10</v>
      </c>
      <c r="E166" s="23">
        <v>2907.5</v>
      </c>
      <c r="F166" s="22"/>
      <c r="G166" s="23">
        <f t="shared" si="68"/>
        <v>2907.5</v>
      </c>
      <c r="H166" s="23"/>
      <c r="I166" s="23"/>
      <c r="J166" s="23"/>
      <c r="K166" s="23">
        <f t="shared" si="69"/>
        <v>872.25</v>
      </c>
      <c r="L166" s="23">
        <f>13500/2-G166-K166</f>
        <v>2970.25</v>
      </c>
      <c r="M166" s="23"/>
      <c r="N166" s="23"/>
      <c r="O166" s="23"/>
      <c r="P166" s="23"/>
      <c r="Q166" s="23"/>
      <c r="R166" s="23">
        <f>G166+K166+L166</f>
        <v>6750</v>
      </c>
      <c r="S166" s="25">
        <f>R166*9</f>
        <v>60750</v>
      </c>
    </row>
    <row r="167" spans="1:20" x14ac:dyDescent="0.25">
      <c r="A167" s="20" t="s">
        <v>250</v>
      </c>
      <c r="B167" s="21" t="s">
        <v>134</v>
      </c>
      <c r="C167" s="22">
        <v>0.5</v>
      </c>
      <c r="D167" s="22">
        <v>3</v>
      </c>
      <c r="E167" s="23">
        <v>1885</v>
      </c>
      <c r="F167" s="22"/>
      <c r="G167" s="23">
        <f t="shared" si="68"/>
        <v>1885</v>
      </c>
      <c r="H167" s="23"/>
      <c r="I167" s="23">
        <f>G167*0.1</f>
        <v>188.5</v>
      </c>
      <c r="J167" s="23"/>
      <c r="K167" s="23"/>
      <c r="L167" s="23"/>
      <c r="M167" s="23"/>
      <c r="N167" s="23"/>
      <c r="O167" s="23"/>
      <c r="P167" s="23">
        <f>8000/2-G167</f>
        <v>2115</v>
      </c>
      <c r="Q167" s="23"/>
      <c r="R167" s="23">
        <f>SUM(G167:Q167)</f>
        <v>4188.5</v>
      </c>
      <c r="S167" s="25">
        <f>R167*9</f>
        <v>37696.5</v>
      </c>
    </row>
    <row r="168" spans="1:20" s="38" customFormat="1" x14ac:dyDescent="0.25">
      <c r="A168" s="20" t="s">
        <v>251</v>
      </c>
      <c r="B168" s="21" t="s">
        <v>229</v>
      </c>
      <c r="C168" s="22">
        <v>0.5</v>
      </c>
      <c r="D168" s="22">
        <v>1</v>
      </c>
      <c r="E168" s="23">
        <v>1597.5</v>
      </c>
      <c r="F168" s="22"/>
      <c r="G168" s="23">
        <f>E168+F168</f>
        <v>1597.5</v>
      </c>
      <c r="H168" s="23"/>
      <c r="I168" s="23"/>
      <c r="J168" s="23"/>
      <c r="K168" s="23"/>
      <c r="L168" s="23"/>
      <c r="M168" s="23"/>
      <c r="N168" s="23"/>
      <c r="O168" s="23"/>
      <c r="P168" s="23">
        <f>8000/2-G168</f>
        <v>2402.5</v>
      </c>
      <c r="Q168" s="23"/>
      <c r="R168" s="23">
        <f t="shared" ref="R168" si="70">SUM(G168:Q168)</f>
        <v>4000</v>
      </c>
      <c r="S168" s="25">
        <f>R168*9</f>
        <v>36000</v>
      </c>
    </row>
    <row r="169" spans="1:20" s="49" customFormat="1" ht="25.8" customHeight="1" thickBot="1" x14ac:dyDescent="0.3">
      <c r="A169" s="64"/>
      <c r="B169" s="47" t="s">
        <v>59</v>
      </c>
      <c r="C169" s="34">
        <f>SUM(C164:C168)</f>
        <v>3.75</v>
      </c>
      <c r="D169" s="34"/>
      <c r="E169" s="35">
        <f>SUM(E164:E168)</f>
        <v>20072.5</v>
      </c>
      <c r="F169" s="34">
        <f>SUM(F164:F168)</f>
        <v>786.75</v>
      </c>
      <c r="G169" s="35">
        <f>SUM(G164:G168)</f>
        <v>20859.25</v>
      </c>
      <c r="H169" s="35"/>
      <c r="I169" s="35">
        <f>SUM(I167:I168)</f>
        <v>188.5</v>
      </c>
      <c r="J169" s="35"/>
      <c r="K169" s="35">
        <f>SUM(K164:K168)</f>
        <v>5213.0249999999996</v>
      </c>
      <c r="L169" s="35">
        <f>SUM(L164:L168)</f>
        <v>22660.224999999999</v>
      </c>
      <c r="M169" s="35"/>
      <c r="N169" s="35"/>
      <c r="O169" s="35">
        <f>SUM(O164:O168)</f>
        <v>0</v>
      </c>
      <c r="P169" s="35">
        <f>SUM(P167:P168)</f>
        <v>4517.5</v>
      </c>
      <c r="Q169" s="35"/>
      <c r="R169" s="35">
        <f>SUM(R164:R168)</f>
        <v>53438.5</v>
      </c>
      <c r="S169" s="36">
        <f>SUM(S164:S168)</f>
        <v>480946.5</v>
      </c>
    </row>
    <row r="170" spans="1:20" s="13" customFormat="1" ht="23.4" customHeight="1" x14ac:dyDescent="0.2">
      <c r="A170" s="18"/>
      <c r="B170" s="55" t="s">
        <v>252</v>
      </c>
      <c r="C170" s="85"/>
      <c r="D170" s="85"/>
      <c r="E170" s="94"/>
      <c r="F170" s="85"/>
      <c r="G170" s="94"/>
      <c r="H170" s="94"/>
      <c r="I170" s="94"/>
      <c r="J170" s="94"/>
      <c r="K170" s="94"/>
      <c r="L170" s="94"/>
      <c r="M170" s="94"/>
      <c r="N170" s="94"/>
      <c r="O170" s="94"/>
      <c r="P170" s="94"/>
      <c r="Q170" s="94"/>
      <c r="R170" s="94"/>
      <c r="S170" s="110"/>
    </row>
    <row r="171" spans="1:20" s="13" customFormat="1" x14ac:dyDescent="0.25">
      <c r="A171" s="20" t="s">
        <v>253</v>
      </c>
      <c r="B171" s="21" t="s">
        <v>206</v>
      </c>
      <c r="C171" s="22">
        <v>1</v>
      </c>
      <c r="D171" s="22">
        <v>14</v>
      </c>
      <c r="E171" s="23">
        <v>7732</v>
      </c>
      <c r="F171" s="22">
        <f>E171*0.1</f>
        <v>773.2</v>
      </c>
      <c r="G171" s="23">
        <f t="shared" ref="G171:G178" si="71">E171+F171</f>
        <v>8505.2000000000007</v>
      </c>
      <c r="H171" s="23"/>
      <c r="I171" s="23"/>
      <c r="J171" s="23"/>
      <c r="K171" s="23">
        <f>G171*0.3</f>
        <v>2551.56</v>
      </c>
      <c r="L171" s="23">
        <f>20000-G171-K171</f>
        <v>8943.24</v>
      </c>
      <c r="M171" s="23"/>
      <c r="N171" s="23"/>
      <c r="O171" s="23"/>
      <c r="P171" s="23"/>
      <c r="Q171" s="23"/>
      <c r="R171" s="23">
        <f>G171+K171+L171+O171</f>
        <v>20000</v>
      </c>
      <c r="S171" s="25">
        <f>R171*9</f>
        <v>180000</v>
      </c>
    </row>
    <row r="172" spans="1:20" s="13" customFormat="1" x14ac:dyDescent="0.25">
      <c r="A172" s="20" t="s">
        <v>254</v>
      </c>
      <c r="B172" s="21" t="s">
        <v>112</v>
      </c>
      <c r="C172" s="22">
        <v>0.5</v>
      </c>
      <c r="D172" s="22">
        <v>13</v>
      </c>
      <c r="E172" s="23">
        <f>7253*C172</f>
        <v>3626.5</v>
      </c>
      <c r="F172" s="22"/>
      <c r="G172" s="23">
        <f t="shared" si="71"/>
        <v>3626.5</v>
      </c>
      <c r="H172" s="23"/>
      <c r="I172" s="23"/>
      <c r="J172" s="23"/>
      <c r="K172" s="23">
        <f t="shared" ref="K172:K175" si="72">G172*0.3</f>
        <v>1087.95</v>
      </c>
      <c r="L172" s="23">
        <f>20000*C172-G172-K172</f>
        <v>5285.55</v>
      </c>
      <c r="M172" s="23"/>
      <c r="N172" s="23"/>
      <c r="O172" s="23"/>
      <c r="P172" s="23"/>
      <c r="Q172" s="23"/>
      <c r="R172" s="23">
        <f>G172+K172+L172+O172</f>
        <v>10000</v>
      </c>
      <c r="S172" s="25">
        <f t="shared" ref="S172:S177" si="73">R172*9</f>
        <v>90000</v>
      </c>
    </row>
    <row r="173" spans="1:20" x14ac:dyDescent="0.25">
      <c r="A173" s="20" t="s">
        <v>255</v>
      </c>
      <c r="B173" s="21" t="s">
        <v>171</v>
      </c>
      <c r="C173" s="22">
        <v>1</v>
      </c>
      <c r="D173" s="22">
        <v>11</v>
      </c>
      <c r="E173" s="23">
        <v>6294</v>
      </c>
      <c r="F173" s="22"/>
      <c r="G173" s="23">
        <f t="shared" si="71"/>
        <v>6294</v>
      </c>
      <c r="H173" s="23"/>
      <c r="I173" s="23"/>
      <c r="J173" s="23"/>
      <c r="K173" s="23">
        <f t="shared" si="72"/>
        <v>1888.1999999999998</v>
      </c>
      <c r="L173" s="23">
        <f>20000-G173-K173</f>
        <v>11817.8</v>
      </c>
      <c r="M173" s="23"/>
      <c r="N173" s="23"/>
      <c r="O173" s="23"/>
      <c r="P173" s="23"/>
      <c r="Q173" s="23"/>
      <c r="R173" s="23">
        <f>G173+K173+L173+O173</f>
        <v>20000</v>
      </c>
      <c r="S173" s="25">
        <f t="shared" si="73"/>
        <v>180000</v>
      </c>
    </row>
    <row r="174" spans="1:20" x14ac:dyDescent="0.25">
      <c r="A174" s="20" t="s">
        <v>256</v>
      </c>
      <c r="B174" s="21" t="s">
        <v>212</v>
      </c>
      <c r="C174" s="22">
        <v>1</v>
      </c>
      <c r="D174" s="22">
        <v>10</v>
      </c>
      <c r="E174" s="23">
        <v>5815</v>
      </c>
      <c r="F174" s="22"/>
      <c r="G174" s="23">
        <f t="shared" si="71"/>
        <v>5815</v>
      </c>
      <c r="H174" s="23"/>
      <c r="I174" s="23"/>
      <c r="J174" s="23"/>
      <c r="K174" s="23">
        <f t="shared" si="72"/>
        <v>1744.5</v>
      </c>
      <c r="L174" s="23">
        <f>13500-G174-K174</f>
        <v>5940.5</v>
      </c>
      <c r="M174" s="23"/>
      <c r="N174" s="23"/>
      <c r="O174" s="23"/>
      <c r="P174" s="23"/>
      <c r="Q174" s="23"/>
      <c r="R174" s="23">
        <f>G174+K174+L174</f>
        <v>13500</v>
      </c>
      <c r="S174" s="25">
        <f t="shared" si="73"/>
        <v>121500</v>
      </c>
    </row>
    <row r="175" spans="1:20" x14ac:dyDescent="0.25">
      <c r="A175" s="20" t="s">
        <v>257</v>
      </c>
      <c r="B175" s="21" t="s">
        <v>235</v>
      </c>
      <c r="C175" s="22">
        <v>2</v>
      </c>
      <c r="D175" s="22">
        <v>10</v>
      </c>
      <c r="E175" s="23">
        <f>5815*C175</f>
        <v>11630</v>
      </c>
      <c r="F175" s="22"/>
      <c r="G175" s="23">
        <f t="shared" si="71"/>
        <v>11630</v>
      </c>
      <c r="H175" s="23"/>
      <c r="I175" s="23"/>
      <c r="J175" s="23"/>
      <c r="K175" s="23">
        <f t="shared" si="72"/>
        <v>3489</v>
      </c>
      <c r="L175" s="23">
        <f>13500*C175-G175-K175</f>
        <v>11881</v>
      </c>
      <c r="M175" s="23"/>
      <c r="N175" s="23"/>
      <c r="O175" s="23"/>
      <c r="P175" s="23"/>
      <c r="Q175" s="23"/>
      <c r="R175" s="23">
        <f t="shared" ref="R175" si="74">G175+K175+L175</f>
        <v>27000</v>
      </c>
      <c r="S175" s="25">
        <f t="shared" si="73"/>
        <v>243000</v>
      </c>
    </row>
    <row r="176" spans="1:20" x14ac:dyDescent="0.25">
      <c r="A176" s="20" t="s">
        <v>258</v>
      </c>
      <c r="B176" s="21" t="s">
        <v>134</v>
      </c>
      <c r="C176" s="22">
        <v>1</v>
      </c>
      <c r="D176" s="22">
        <v>3</v>
      </c>
      <c r="E176" s="23">
        <v>3770</v>
      </c>
      <c r="F176" s="22"/>
      <c r="G176" s="23">
        <f t="shared" si="71"/>
        <v>3770</v>
      </c>
      <c r="H176" s="23"/>
      <c r="I176" s="23">
        <f>G176*0.1</f>
        <v>377</v>
      </c>
      <c r="J176" s="23"/>
      <c r="K176" s="23"/>
      <c r="L176" s="23"/>
      <c r="M176" s="23"/>
      <c r="N176" s="23"/>
      <c r="O176" s="23"/>
      <c r="P176" s="23">
        <f>8000-G176</f>
        <v>4230</v>
      </c>
      <c r="Q176" s="23"/>
      <c r="R176" s="23">
        <f>G176+I176+P176</f>
        <v>8377</v>
      </c>
      <c r="S176" s="25">
        <f t="shared" si="73"/>
        <v>75393</v>
      </c>
      <c r="T176" s="53"/>
    </row>
    <row r="177" spans="1:20" s="38" customFormat="1" x14ac:dyDescent="0.25">
      <c r="A177" s="20" t="s">
        <v>260</v>
      </c>
      <c r="B177" s="21" t="s">
        <v>245</v>
      </c>
      <c r="C177" s="22">
        <v>0.5</v>
      </c>
      <c r="D177" s="22">
        <v>5</v>
      </c>
      <c r="E177" s="23">
        <v>2172.5</v>
      </c>
      <c r="F177" s="22"/>
      <c r="G177" s="23">
        <f t="shared" si="71"/>
        <v>2172.5</v>
      </c>
      <c r="H177" s="23"/>
      <c r="I177" s="23"/>
      <c r="J177" s="23"/>
      <c r="K177" s="23"/>
      <c r="L177" s="23"/>
      <c r="M177" s="23"/>
      <c r="N177" s="23"/>
      <c r="O177" s="23"/>
      <c r="P177" s="23">
        <f>8000/2-G177</f>
        <v>1827.5</v>
      </c>
      <c r="Q177" s="23"/>
      <c r="R177" s="23">
        <f>SUM(G177:Q177)</f>
        <v>4000</v>
      </c>
      <c r="S177" s="25">
        <f t="shared" si="73"/>
        <v>36000</v>
      </c>
    </row>
    <row r="178" spans="1:20" s="49" customFormat="1" ht="25.2" customHeight="1" thickBot="1" x14ac:dyDescent="0.3">
      <c r="A178" s="64"/>
      <c r="B178" s="47" t="s">
        <v>59</v>
      </c>
      <c r="C178" s="34">
        <f>SUM(C171:C177)</f>
        <v>7</v>
      </c>
      <c r="D178" s="34"/>
      <c r="E178" s="35">
        <f>SUM(E171:E177)</f>
        <v>41040</v>
      </c>
      <c r="F178" s="34">
        <f>SUM(F171:F177)</f>
        <v>773.2</v>
      </c>
      <c r="G178" s="35">
        <f t="shared" si="71"/>
        <v>41813.199999999997</v>
      </c>
      <c r="H178" s="35"/>
      <c r="I178" s="35">
        <f>SUM(I176:I177)</f>
        <v>377</v>
      </c>
      <c r="J178" s="35"/>
      <c r="K178" s="35">
        <f>SUM(K171:K177)</f>
        <v>10761.21</v>
      </c>
      <c r="L178" s="35">
        <f>SUM(L171:L177)</f>
        <v>43868.09</v>
      </c>
      <c r="M178" s="35"/>
      <c r="N178" s="35"/>
      <c r="O178" s="35">
        <f>SUM(O171:O177)</f>
        <v>0</v>
      </c>
      <c r="P178" s="35">
        <f>SUM(P171:P177)</f>
        <v>6057.5</v>
      </c>
      <c r="Q178" s="35"/>
      <c r="R178" s="35">
        <f>SUM(R171:R177)</f>
        <v>102877</v>
      </c>
      <c r="S178" s="36">
        <f>SUM(S171:S177)</f>
        <v>925893</v>
      </c>
    </row>
    <row r="179" spans="1:20" s="13" customFormat="1" ht="22.8" customHeight="1" x14ac:dyDescent="0.2">
      <c r="A179" s="18"/>
      <c r="B179" s="55" t="s">
        <v>259</v>
      </c>
      <c r="C179" s="85"/>
      <c r="D179" s="85"/>
      <c r="E179" s="94"/>
      <c r="F179" s="85"/>
      <c r="G179" s="94"/>
      <c r="H179" s="94"/>
      <c r="I179" s="94"/>
      <c r="J179" s="94"/>
      <c r="K179" s="94"/>
      <c r="L179" s="94"/>
      <c r="M179" s="94"/>
      <c r="N179" s="94"/>
      <c r="O179" s="94"/>
      <c r="P179" s="94"/>
      <c r="Q179" s="94"/>
      <c r="R179" s="94"/>
      <c r="S179" s="110"/>
    </row>
    <row r="180" spans="1:20" s="13" customFormat="1" x14ac:dyDescent="0.25">
      <c r="A180" s="20" t="s">
        <v>261</v>
      </c>
      <c r="B180" s="21" t="s">
        <v>206</v>
      </c>
      <c r="C180" s="22">
        <v>1</v>
      </c>
      <c r="D180" s="22">
        <v>14</v>
      </c>
      <c r="E180" s="23">
        <f>7732*C180</f>
        <v>7732</v>
      </c>
      <c r="F180" s="22">
        <f>E180*0.1</f>
        <v>773.2</v>
      </c>
      <c r="G180" s="23">
        <f t="shared" ref="G180:G183" si="75">E180+F180</f>
        <v>8505.2000000000007</v>
      </c>
      <c r="H180" s="23"/>
      <c r="I180" s="23"/>
      <c r="J180" s="23"/>
      <c r="K180" s="23"/>
      <c r="L180" s="23">
        <f>20000*C180-G180</f>
        <v>11494.8</v>
      </c>
      <c r="M180" s="23"/>
      <c r="N180" s="23"/>
      <c r="O180" s="23"/>
      <c r="P180" s="23"/>
      <c r="Q180" s="23"/>
      <c r="R180" s="23">
        <f>SUM(G180:Q180)</f>
        <v>20000</v>
      </c>
      <c r="S180" s="25">
        <f>R180*9</f>
        <v>180000</v>
      </c>
    </row>
    <row r="181" spans="1:20" x14ac:dyDescent="0.25">
      <c r="A181" s="20" t="s">
        <v>262</v>
      </c>
      <c r="B181" s="21" t="s">
        <v>235</v>
      </c>
      <c r="C181" s="22">
        <v>1</v>
      </c>
      <c r="D181" s="22">
        <v>10</v>
      </c>
      <c r="E181" s="23">
        <v>5815</v>
      </c>
      <c r="F181" s="22"/>
      <c r="G181" s="23">
        <f t="shared" si="75"/>
        <v>5815</v>
      </c>
      <c r="H181" s="23"/>
      <c r="I181" s="23"/>
      <c r="J181" s="23"/>
      <c r="K181" s="23">
        <f>G181*0.3</f>
        <v>1744.5</v>
      </c>
      <c r="L181" s="23">
        <f>13500-G181-K181</f>
        <v>5940.5</v>
      </c>
      <c r="M181" s="23"/>
      <c r="N181" s="23"/>
      <c r="O181" s="23"/>
      <c r="P181" s="23"/>
      <c r="Q181" s="23"/>
      <c r="R181" s="23">
        <f>G181+K181+L181</f>
        <v>13500</v>
      </c>
      <c r="S181" s="25">
        <f>R181*9</f>
        <v>121500</v>
      </c>
      <c r="T181" s="53"/>
    </row>
    <row r="182" spans="1:20" s="38" customFormat="1" x14ac:dyDescent="0.25">
      <c r="A182" s="20" t="s">
        <v>264</v>
      </c>
      <c r="B182" s="21" t="s">
        <v>134</v>
      </c>
      <c r="C182" s="22">
        <v>1</v>
      </c>
      <c r="D182" s="22">
        <v>3</v>
      </c>
      <c r="E182" s="23">
        <v>3770</v>
      </c>
      <c r="F182" s="22"/>
      <c r="G182" s="23">
        <f t="shared" si="75"/>
        <v>3770</v>
      </c>
      <c r="H182" s="23"/>
      <c r="I182" s="23">
        <f>G182*0.1</f>
        <v>377</v>
      </c>
      <c r="J182" s="23"/>
      <c r="K182" s="23"/>
      <c r="L182" s="23"/>
      <c r="M182" s="23"/>
      <c r="N182" s="23"/>
      <c r="O182" s="23"/>
      <c r="P182" s="23">
        <f>8000-G182</f>
        <v>4230</v>
      </c>
      <c r="Q182" s="23"/>
      <c r="R182" s="23">
        <f>G182+I182+P182</f>
        <v>8377</v>
      </c>
      <c r="S182" s="25">
        <f>R182*9</f>
        <v>75393</v>
      </c>
    </row>
    <row r="183" spans="1:20" s="49" customFormat="1" ht="23.4" customHeight="1" thickBot="1" x14ac:dyDescent="0.3">
      <c r="A183" s="64"/>
      <c r="B183" s="47" t="s">
        <v>59</v>
      </c>
      <c r="C183" s="34">
        <f>SUM(C180:C182)</f>
        <v>3</v>
      </c>
      <c r="D183" s="34"/>
      <c r="E183" s="35">
        <f>SUM(E180:E182)</f>
        <v>17317</v>
      </c>
      <c r="F183" s="34">
        <f>SUM(F180:F182)</f>
        <v>773.2</v>
      </c>
      <c r="G183" s="35">
        <f t="shared" si="75"/>
        <v>18090.2</v>
      </c>
      <c r="H183" s="35"/>
      <c r="I183" s="35">
        <f>SUM(I182)</f>
        <v>377</v>
      </c>
      <c r="J183" s="35"/>
      <c r="K183" s="35">
        <f>K181</f>
        <v>1744.5</v>
      </c>
      <c r="L183" s="35">
        <f>L180+L181</f>
        <v>17435.3</v>
      </c>
      <c r="M183" s="35">
        <f>M180</f>
        <v>0</v>
      </c>
      <c r="N183" s="35"/>
      <c r="O183" s="35"/>
      <c r="P183" s="35">
        <f>SUM(P182)</f>
        <v>4230</v>
      </c>
      <c r="Q183" s="35"/>
      <c r="R183" s="35">
        <f>SUM(R180:R182)</f>
        <v>41877</v>
      </c>
      <c r="S183" s="36">
        <f>SUM(S180:S182)</f>
        <v>376893</v>
      </c>
    </row>
    <row r="184" spans="1:20" ht="21" customHeight="1" x14ac:dyDescent="0.25">
      <c r="A184" s="15"/>
      <c r="B184" s="55" t="s">
        <v>312</v>
      </c>
      <c r="C184" s="85"/>
      <c r="D184" s="85"/>
      <c r="E184" s="94"/>
      <c r="F184" s="85"/>
      <c r="G184" s="94"/>
      <c r="H184" s="94"/>
      <c r="I184" s="94"/>
      <c r="J184" s="94"/>
      <c r="K184" s="94"/>
      <c r="L184" s="94"/>
      <c r="M184" s="94"/>
      <c r="N184" s="94"/>
      <c r="O184" s="94"/>
      <c r="P184" s="94"/>
      <c r="Q184" s="94"/>
      <c r="R184" s="94"/>
      <c r="S184" s="110"/>
    </row>
    <row r="185" spans="1:20" ht="24.6" customHeight="1" x14ac:dyDescent="0.25">
      <c r="A185" s="20"/>
      <c r="B185" s="44" t="s">
        <v>263</v>
      </c>
      <c r="C185" s="22"/>
      <c r="D185" s="22"/>
      <c r="E185" s="23"/>
      <c r="F185" s="22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5"/>
    </row>
    <row r="186" spans="1:20" x14ac:dyDescent="0.25">
      <c r="A186" s="20" t="s">
        <v>264</v>
      </c>
      <c r="B186" s="21" t="s">
        <v>220</v>
      </c>
      <c r="C186" s="22">
        <v>0.5</v>
      </c>
      <c r="D186" s="22">
        <v>10</v>
      </c>
      <c r="E186" s="23">
        <v>2907.5</v>
      </c>
      <c r="F186" s="22"/>
      <c r="G186" s="23">
        <f t="shared" ref="G186:G189" si="76">E186+F186</f>
        <v>2907.5</v>
      </c>
      <c r="H186" s="23"/>
      <c r="I186" s="23"/>
      <c r="J186" s="23"/>
      <c r="K186" s="23">
        <f>G186*0.3</f>
        <v>872.25</v>
      </c>
      <c r="L186" s="23">
        <f>R186-K186-G186</f>
        <v>2970.25</v>
      </c>
      <c r="M186" s="23"/>
      <c r="N186" s="23"/>
      <c r="O186" s="23"/>
      <c r="P186" s="23"/>
      <c r="Q186" s="23"/>
      <c r="R186" s="23">
        <v>6750</v>
      </c>
      <c r="S186" s="25">
        <f>R186*9</f>
        <v>60750</v>
      </c>
    </row>
    <row r="187" spans="1:20" x14ac:dyDescent="0.25">
      <c r="A187" s="20" t="s">
        <v>265</v>
      </c>
      <c r="B187" s="21" t="s">
        <v>134</v>
      </c>
      <c r="C187" s="22">
        <v>0.25</v>
      </c>
      <c r="D187" s="22">
        <v>3</v>
      </c>
      <c r="E187" s="23">
        <v>942.5</v>
      </c>
      <c r="F187" s="22"/>
      <c r="G187" s="23">
        <f t="shared" si="76"/>
        <v>942.5</v>
      </c>
      <c r="H187" s="23"/>
      <c r="I187" s="23">
        <f>G187*0.1</f>
        <v>94.25</v>
      </c>
      <c r="J187" s="23"/>
      <c r="K187" s="23"/>
      <c r="L187" s="23"/>
      <c r="M187" s="23"/>
      <c r="N187" s="23"/>
      <c r="O187" s="23"/>
      <c r="P187" s="23">
        <f>8000*0.25-G187</f>
        <v>1057.5</v>
      </c>
      <c r="Q187" s="23"/>
      <c r="R187" s="23">
        <f>E187+I187+P187</f>
        <v>2094.25</v>
      </c>
      <c r="S187" s="25">
        <f>R187*9</f>
        <v>18848.25</v>
      </c>
    </row>
    <row r="188" spans="1:20" s="38" customFormat="1" x14ac:dyDescent="0.25">
      <c r="A188" s="20" t="s">
        <v>266</v>
      </c>
      <c r="B188" s="21" t="s">
        <v>267</v>
      </c>
      <c r="C188" s="22">
        <v>0.25</v>
      </c>
      <c r="D188" s="22">
        <v>1</v>
      </c>
      <c r="E188" s="23">
        <v>798.75</v>
      </c>
      <c r="F188" s="22"/>
      <c r="G188" s="23">
        <f t="shared" si="76"/>
        <v>798.75</v>
      </c>
      <c r="H188" s="23"/>
      <c r="I188" s="23"/>
      <c r="J188" s="23"/>
      <c r="K188" s="23"/>
      <c r="L188" s="23"/>
      <c r="M188" s="23"/>
      <c r="N188" s="23"/>
      <c r="O188" s="23"/>
      <c r="P188" s="23">
        <f>8000*0.25-G188</f>
        <v>1201.25</v>
      </c>
      <c r="Q188" s="23"/>
      <c r="R188" s="23">
        <f>E188+P188</f>
        <v>2000</v>
      </c>
      <c r="S188" s="25">
        <f>R188*3</f>
        <v>6000</v>
      </c>
    </row>
    <row r="189" spans="1:20" s="27" customFormat="1" ht="24" customHeight="1" thickBot="1" x14ac:dyDescent="0.3">
      <c r="A189" s="112"/>
      <c r="B189" s="113" t="s">
        <v>59</v>
      </c>
      <c r="C189" s="114">
        <f>C186+C187+C188</f>
        <v>1</v>
      </c>
      <c r="D189" s="114"/>
      <c r="E189" s="115">
        <f>E186+E187+E188</f>
        <v>4648.75</v>
      </c>
      <c r="F189" s="114"/>
      <c r="G189" s="115">
        <f t="shared" si="76"/>
        <v>4648.75</v>
      </c>
      <c r="H189" s="115"/>
      <c r="I189" s="115">
        <f>SUM(I187)</f>
        <v>94.25</v>
      </c>
      <c r="J189" s="115"/>
      <c r="K189" s="115">
        <f>SUM(K186:K187)</f>
        <v>872.25</v>
      </c>
      <c r="L189" s="115">
        <f>SUM(L186:L187)</f>
        <v>2970.25</v>
      </c>
      <c r="M189" s="115"/>
      <c r="N189" s="115"/>
      <c r="O189" s="115"/>
      <c r="P189" s="115">
        <f>P187+P188</f>
        <v>2258.75</v>
      </c>
      <c r="Q189" s="115"/>
      <c r="R189" s="115">
        <f>SUM(R186:R188)</f>
        <v>10844.25</v>
      </c>
      <c r="S189" s="116">
        <f>SUM(S186:S188)</f>
        <v>85598.25</v>
      </c>
    </row>
    <row r="190" spans="1:20" s="13" customFormat="1" ht="20.399999999999999" customHeight="1" x14ac:dyDescent="0.2">
      <c r="A190" s="18"/>
      <c r="B190" s="55" t="s">
        <v>268</v>
      </c>
      <c r="C190" s="85"/>
      <c r="D190" s="85"/>
      <c r="E190" s="94"/>
      <c r="F190" s="85"/>
      <c r="G190" s="94"/>
      <c r="H190" s="94"/>
      <c r="I190" s="94"/>
      <c r="J190" s="94"/>
      <c r="K190" s="94"/>
      <c r="L190" s="94"/>
      <c r="M190" s="94"/>
      <c r="N190" s="94"/>
      <c r="O190" s="94"/>
      <c r="P190" s="94"/>
      <c r="Q190" s="94"/>
      <c r="R190" s="94"/>
      <c r="S190" s="110"/>
    </row>
    <row r="191" spans="1:20" x14ac:dyDescent="0.25">
      <c r="A191" s="20" t="s">
        <v>269</v>
      </c>
      <c r="B191" s="21" t="s">
        <v>220</v>
      </c>
      <c r="C191" s="22">
        <v>0.5</v>
      </c>
      <c r="D191" s="22">
        <v>9</v>
      </c>
      <c r="E191" s="23">
        <v>2763.5</v>
      </c>
      <c r="F191" s="22"/>
      <c r="G191" s="23">
        <f t="shared" ref="G191:G194" si="77">E191+F191</f>
        <v>2763.5</v>
      </c>
      <c r="H191" s="23"/>
      <c r="I191" s="23"/>
      <c r="J191" s="23"/>
      <c r="K191" s="23">
        <f>G191*0.3</f>
        <v>829.05</v>
      </c>
      <c r="L191" s="23">
        <f>6750-G191-K191</f>
        <v>3157.45</v>
      </c>
      <c r="M191" s="23"/>
      <c r="N191" s="23"/>
      <c r="O191" s="23"/>
      <c r="P191" s="23"/>
      <c r="Q191" s="23"/>
      <c r="R191" s="23">
        <f>G191+K191+L191</f>
        <v>6750</v>
      </c>
      <c r="S191" s="25">
        <f>R191*9</f>
        <v>60750</v>
      </c>
    </row>
    <row r="192" spans="1:20" x14ac:dyDescent="0.25">
      <c r="A192" s="20" t="s">
        <v>270</v>
      </c>
      <c r="B192" s="21" t="s">
        <v>134</v>
      </c>
      <c r="C192" s="22">
        <v>0.25</v>
      </c>
      <c r="D192" s="22">
        <v>3</v>
      </c>
      <c r="E192" s="23">
        <v>942.5</v>
      </c>
      <c r="F192" s="22"/>
      <c r="G192" s="23">
        <f t="shared" si="77"/>
        <v>942.5</v>
      </c>
      <c r="H192" s="23"/>
      <c r="I192" s="23">
        <f>G192*0.1</f>
        <v>94.25</v>
      </c>
      <c r="J192" s="23"/>
      <c r="K192" s="23"/>
      <c r="L192" s="23"/>
      <c r="M192" s="23"/>
      <c r="N192" s="23"/>
      <c r="O192" s="23"/>
      <c r="P192" s="23">
        <f>8000*0.25-G192</f>
        <v>1057.5</v>
      </c>
      <c r="Q192" s="23"/>
      <c r="R192" s="23">
        <f>E192+I192+P192</f>
        <v>2094.25</v>
      </c>
      <c r="S192" s="25">
        <f>R192*9</f>
        <v>18848.25</v>
      </c>
    </row>
    <row r="193" spans="1:20" s="38" customFormat="1" x14ac:dyDescent="0.25">
      <c r="A193" s="20" t="s">
        <v>271</v>
      </c>
      <c r="B193" s="21" t="s">
        <v>227</v>
      </c>
      <c r="C193" s="22">
        <v>0.5</v>
      </c>
      <c r="D193" s="22">
        <v>1</v>
      </c>
      <c r="E193" s="23">
        <v>1597.5</v>
      </c>
      <c r="F193" s="22"/>
      <c r="G193" s="23">
        <f t="shared" si="77"/>
        <v>1597.5</v>
      </c>
      <c r="H193" s="23"/>
      <c r="I193" s="23"/>
      <c r="J193" s="23"/>
      <c r="K193" s="23"/>
      <c r="L193" s="23"/>
      <c r="M193" s="23"/>
      <c r="N193" s="23"/>
      <c r="O193" s="23"/>
      <c r="P193" s="23">
        <f>8000/2-G193</f>
        <v>2402.5</v>
      </c>
      <c r="Q193" s="23"/>
      <c r="R193" s="23">
        <f>E193+P193</f>
        <v>4000</v>
      </c>
      <c r="S193" s="25">
        <f>R193*3</f>
        <v>12000</v>
      </c>
    </row>
    <row r="194" spans="1:20" s="27" customFormat="1" ht="27.6" customHeight="1" thickBot="1" x14ac:dyDescent="0.3">
      <c r="A194" s="64"/>
      <c r="B194" s="47" t="s">
        <v>59</v>
      </c>
      <c r="C194" s="34">
        <f>C191+C192+C193</f>
        <v>1.25</v>
      </c>
      <c r="D194" s="34"/>
      <c r="E194" s="35">
        <f>E191+E192+E193</f>
        <v>5303.5</v>
      </c>
      <c r="F194" s="34"/>
      <c r="G194" s="35">
        <f t="shared" si="77"/>
        <v>5303.5</v>
      </c>
      <c r="H194" s="35"/>
      <c r="I194" s="35">
        <f>SUM(I191:I192)</f>
        <v>94.25</v>
      </c>
      <c r="J194" s="35"/>
      <c r="K194" s="35">
        <f>SUM(K191:K193)</f>
        <v>829.05</v>
      </c>
      <c r="L194" s="35">
        <f>SUM(L190:L192)</f>
        <v>3157.45</v>
      </c>
      <c r="M194" s="35"/>
      <c r="N194" s="35"/>
      <c r="O194" s="35"/>
      <c r="P194" s="35">
        <f>P192+P193</f>
        <v>3460</v>
      </c>
      <c r="Q194" s="35"/>
      <c r="R194" s="35">
        <f>SUM(R191:R193)</f>
        <v>12844.25</v>
      </c>
      <c r="S194" s="36">
        <f>SUM(S191:S193)</f>
        <v>91598.25</v>
      </c>
    </row>
    <row r="195" spans="1:20" ht="22.8" customHeight="1" x14ac:dyDescent="0.25">
      <c r="A195" s="57"/>
      <c r="B195" s="111" t="s">
        <v>272</v>
      </c>
      <c r="C195" s="91"/>
      <c r="D195" s="91"/>
      <c r="E195" s="51"/>
      <c r="F195" s="9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97"/>
      <c r="T195" s="65"/>
    </row>
    <row r="196" spans="1:20" x14ac:dyDescent="0.25">
      <c r="A196" s="20" t="s">
        <v>273</v>
      </c>
      <c r="B196" s="21" t="s">
        <v>130</v>
      </c>
      <c r="C196" s="22">
        <v>1</v>
      </c>
      <c r="D196" s="22">
        <v>10</v>
      </c>
      <c r="E196" s="23">
        <v>5815</v>
      </c>
      <c r="F196" s="22"/>
      <c r="G196" s="23">
        <f t="shared" ref="G196:G199" si="78">E196+F196</f>
        <v>5815</v>
      </c>
      <c r="H196" s="23"/>
      <c r="I196" s="23"/>
      <c r="J196" s="23"/>
      <c r="K196" s="23">
        <f>G196*0.3</f>
        <v>1744.5</v>
      </c>
      <c r="L196" s="23">
        <f>13500-G196-K196</f>
        <v>5940.5</v>
      </c>
      <c r="M196" s="23"/>
      <c r="N196" s="23"/>
      <c r="O196" s="23"/>
      <c r="P196" s="23"/>
      <c r="Q196" s="23"/>
      <c r="R196" s="23">
        <f>G196+K196+L196</f>
        <v>13500</v>
      </c>
      <c r="S196" s="25">
        <f>R196*9</f>
        <v>121500</v>
      </c>
    </row>
    <row r="197" spans="1:20" x14ac:dyDescent="0.25">
      <c r="A197" s="20" t="s">
        <v>274</v>
      </c>
      <c r="B197" s="21" t="s">
        <v>134</v>
      </c>
      <c r="C197" s="22">
        <v>0.25</v>
      </c>
      <c r="D197" s="22">
        <v>3</v>
      </c>
      <c r="E197" s="23">
        <v>942.5</v>
      </c>
      <c r="F197" s="22"/>
      <c r="G197" s="23">
        <f t="shared" si="78"/>
        <v>942.5</v>
      </c>
      <c r="H197" s="23"/>
      <c r="I197" s="23">
        <f>G197*0.1</f>
        <v>94.25</v>
      </c>
      <c r="J197" s="23"/>
      <c r="K197" s="23"/>
      <c r="L197" s="23"/>
      <c r="M197" s="23"/>
      <c r="N197" s="23"/>
      <c r="O197" s="23"/>
      <c r="P197" s="23">
        <f>8000*0.25-G197</f>
        <v>1057.5</v>
      </c>
      <c r="Q197" s="23"/>
      <c r="R197" s="23">
        <f>E197+I197+P197</f>
        <v>2094.25</v>
      </c>
      <c r="S197" s="25">
        <f>R197*9</f>
        <v>18848.25</v>
      </c>
    </row>
    <row r="198" spans="1:20" s="38" customFormat="1" x14ac:dyDescent="0.25">
      <c r="A198" s="20" t="s">
        <v>275</v>
      </c>
      <c r="B198" s="21" t="s">
        <v>267</v>
      </c>
      <c r="C198" s="22">
        <v>0.25</v>
      </c>
      <c r="D198" s="22">
        <v>1</v>
      </c>
      <c r="E198" s="23">
        <v>798.75</v>
      </c>
      <c r="F198" s="22"/>
      <c r="G198" s="23">
        <f t="shared" si="78"/>
        <v>798.75</v>
      </c>
      <c r="H198" s="23"/>
      <c r="I198" s="23"/>
      <c r="J198" s="23"/>
      <c r="K198" s="23"/>
      <c r="L198" s="23"/>
      <c r="M198" s="23"/>
      <c r="N198" s="23"/>
      <c r="O198" s="23"/>
      <c r="P198" s="23">
        <f>8000*0.25-G198</f>
        <v>1201.25</v>
      </c>
      <c r="Q198" s="23"/>
      <c r="R198" s="23">
        <f>E198+P198</f>
        <v>2000</v>
      </c>
      <c r="S198" s="25">
        <f>R198*3</f>
        <v>6000</v>
      </c>
    </row>
    <row r="199" spans="1:20" s="27" customFormat="1" ht="26.4" customHeight="1" thickBot="1" x14ac:dyDescent="0.3">
      <c r="A199" s="64"/>
      <c r="B199" s="47" t="s">
        <v>59</v>
      </c>
      <c r="C199" s="34">
        <f>SUM(C196:C198)</f>
        <v>1.5</v>
      </c>
      <c r="D199" s="34"/>
      <c r="E199" s="35">
        <f>SUM(E196:E198)</f>
        <v>7556.25</v>
      </c>
      <c r="F199" s="34">
        <f>SUM(F196:F198)</f>
        <v>0</v>
      </c>
      <c r="G199" s="35">
        <f t="shared" si="78"/>
        <v>7556.25</v>
      </c>
      <c r="H199" s="35"/>
      <c r="I199" s="35">
        <f>SUM(I197:I198)</f>
        <v>94.25</v>
      </c>
      <c r="J199" s="35"/>
      <c r="K199" s="35">
        <f>SUM(K196:K198)</f>
        <v>1744.5</v>
      </c>
      <c r="L199" s="35">
        <f>SUM(L196:L198)</f>
        <v>5940.5</v>
      </c>
      <c r="M199" s="35"/>
      <c r="N199" s="35"/>
      <c r="O199" s="35"/>
      <c r="P199" s="35">
        <f>P197+P198</f>
        <v>2258.75</v>
      </c>
      <c r="Q199" s="35"/>
      <c r="R199" s="35">
        <f>SUM(R196:R198)</f>
        <v>17594.25</v>
      </c>
      <c r="S199" s="36">
        <f>SUM(S196:S198)</f>
        <v>146348.25</v>
      </c>
    </row>
    <row r="200" spans="1:20" ht="22.2" customHeight="1" x14ac:dyDescent="0.25">
      <c r="A200" s="15"/>
      <c r="B200" s="55" t="s">
        <v>276</v>
      </c>
      <c r="C200" s="85"/>
      <c r="D200" s="85"/>
      <c r="E200" s="94"/>
      <c r="F200" s="85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  <c r="R200" s="94"/>
      <c r="S200" s="110"/>
    </row>
    <row r="201" spans="1:20" x14ac:dyDescent="0.25">
      <c r="A201" s="20" t="s">
        <v>277</v>
      </c>
      <c r="B201" s="21" t="s">
        <v>220</v>
      </c>
      <c r="C201" s="22">
        <v>1</v>
      </c>
      <c r="D201" s="22">
        <v>10</v>
      </c>
      <c r="E201" s="23">
        <v>5815</v>
      </c>
      <c r="F201" s="22"/>
      <c r="G201" s="23">
        <f t="shared" ref="G201:G204" si="79">E201+F201</f>
        <v>5815</v>
      </c>
      <c r="H201" s="23"/>
      <c r="I201" s="23"/>
      <c r="J201" s="23"/>
      <c r="K201" s="23">
        <f>G201*0.3</f>
        <v>1744.5</v>
      </c>
      <c r="L201" s="23">
        <f>13500-G201-K201</f>
        <v>5940.5</v>
      </c>
      <c r="M201" s="23"/>
      <c r="N201" s="23"/>
      <c r="O201" s="23"/>
      <c r="P201" s="23"/>
      <c r="Q201" s="23"/>
      <c r="R201" s="23">
        <f>G201+K201+L201</f>
        <v>13500</v>
      </c>
      <c r="S201" s="25">
        <f>R201*9</f>
        <v>121500</v>
      </c>
    </row>
    <row r="202" spans="1:20" x14ac:dyDescent="0.25">
      <c r="A202" s="20" t="s">
        <v>278</v>
      </c>
      <c r="B202" s="21" t="s">
        <v>134</v>
      </c>
      <c r="C202" s="22">
        <v>0.25</v>
      </c>
      <c r="D202" s="22">
        <v>3</v>
      </c>
      <c r="E202" s="23">
        <v>942.5</v>
      </c>
      <c r="F202" s="22"/>
      <c r="G202" s="23">
        <f t="shared" si="79"/>
        <v>942.5</v>
      </c>
      <c r="H202" s="23"/>
      <c r="I202" s="23">
        <f>G202*0.1</f>
        <v>94.25</v>
      </c>
      <c r="J202" s="23"/>
      <c r="K202" s="23"/>
      <c r="L202" s="23"/>
      <c r="M202" s="23"/>
      <c r="N202" s="23"/>
      <c r="O202" s="23"/>
      <c r="P202" s="23">
        <f>8000*0.25-G202</f>
        <v>1057.5</v>
      </c>
      <c r="Q202" s="23"/>
      <c r="R202" s="23">
        <f>E202+I202+P202</f>
        <v>2094.25</v>
      </c>
      <c r="S202" s="25">
        <f>R202*9</f>
        <v>18848.25</v>
      </c>
    </row>
    <row r="203" spans="1:20" s="38" customFormat="1" x14ac:dyDescent="0.25">
      <c r="A203" s="20" t="s">
        <v>279</v>
      </c>
      <c r="B203" s="21" t="s">
        <v>267</v>
      </c>
      <c r="C203" s="22">
        <v>0.25</v>
      </c>
      <c r="D203" s="22">
        <v>1</v>
      </c>
      <c r="E203" s="23">
        <v>798.75</v>
      </c>
      <c r="F203" s="22"/>
      <c r="G203" s="23">
        <f t="shared" si="79"/>
        <v>798.75</v>
      </c>
      <c r="H203" s="23"/>
      <c r="I203" s="23"/>
      <c r="J203" s="23"/>
      <c r="K203" s="23"/>
      <c r="L203" s="23"/>
      <c r="M203" s="23"/>
      <c r="N203" s="23"/>
      <c r="O203" s="23"/>
      <c r="P203" s="23">
        <f>8000*0.25-G203</f>
        <v>1201.25</v>
      </c>
      <c r="Q203" s="23"/>
      <c r="R203" s="23">
        <f>E203+P203</f>
        <v>2000</v>
      </c>
      <c r="S203" s="25">
        <f>R203*3</f>
        <v>6000</v>
      </c>
    </row>
    <row r="204" spans="1:20" s="27" customFormat="1" ht="28.2" customHeight="1" thickBot="1" x14ac:dyDescent="0.3">
      <c r="A204" s="64"/>
      <c r="B204" s="47" t="s">
        <v>59</v>
      </c>
      <c r="C204" s="34">
        <f>SUM(C201:C203)</f>
        <v>1.5</v>
      </c>
      <c r="D204" s="34"/>
      <c r="E204" s="35">
        <f>SUM(E201:E203)</f>
        <v>7556.25</v>
      </c>
      <c r="F204" s="34">
        <f>SUM(F201:F203)</f>
        <v>0</v>
      </c>
      <c r="G204" s="35">
        <f t="shared" si="79"/>
        <v>7556.25</v>
      </c>
      <c r="H204" s="35"/>
      <c r="I204" s="35">
        <f>SUM(I202:I203)</f>
        <v>94.25</v>
      </c>
      <c r="J204" s="35"/>
      <c r="K204" s="35">
        <f>K201</f>
        <v>1744.5</v>
      </c>
      <c r="L204" s="35">
        <f>SUM(L201:L203)</f>
        <v>5940.5</v>
      </c>
      <c r="M204" s="35"/>
      <c r="N204" s="35"/>
      <c r="O204" s="35"/>
      <c r="P204" s="35">
        <f>P202+P203</f>
        <v>2258.75</v>
      </c>
      <c r="Q204" s="35"/>
      <c r="R204" s="35">
        <f>SUM(R201:R203)</f>
        <v>17594.25</v>
      </c>
      <c r="S204" s="36">
        <f>SUM(S201:S203)</f>
        <v>146348.25</v>
      </c>
    </row>
    <row r="205" spans="1:20" ht="24" customHeight="1" x14ac:dyDescent="0.25">
      <c r="A205" s="15"/>
      <c r="B205" s="55" t="s">
        <v>280</v>
      </c>
      <c r="C205" s="85"/>
      <c r="D205" s="85"/>
      <c r="E205" s="94"/>
      <c r="F205" s="85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110"/>
    </row>
    <row r="206" spans="1:20" x14ac:dyDescent="0.25">
      <c r="A206" s="20" t="s">
        <v>281</v>
      </c>
      <c r="B206" s="21" t="s">
        <v>130</v>
      </c>
      <c r="C206" s="22">
        <v>0.5</v>
      </c>
      <c r="D206" s="22">
        <v>8</v>
      </c>
      <c r="E206" s="23">
        <v>2620</v>
      </c>
      <c r="F206" s="22"/>
      <c r="G206" s="23">
        <f t="shared" ref="G206:G208" si="80">E206+F206</f>
        <v>2620</v>
      </c>
      <c r="H206" s="23"/>
      <c r="I206" s="23"/>
      <c r="J206" s="23"/>
      <c r="K206" s="23">
        <f>G206*0.3</f>
        <v>786</v>
      </c>
      <c r="L206" s="23">
        <f>R206-K206-G206</f>
        <v>3344</v>
      </c>
      <c r="M206" s="23"/>
      <c r="N206" s="23"/>
      <c r="O206" s="23"/>
      <c r="P206" s="23"/>
      <c r="Q206" s="23"/>
      <c r="R206" s="23">
        <v>6750</v>
      </c>
      <c r="S206" s="25">
        <f>R206*9</f>
        <v>60750</v>
      </c>
    </row>
    <row r="207" spans="1:20" s="38" customFormat="1" x14ac:dyDescent="0.25">
      <c r="A207" s="20" t="s">
        <v>282</v>
      </c>
      <c r="B207" s="21" t="s">
        <v>134</v>
      </c>
      <c r="C207" s="22">
        <v>0.5</v>
      </c>
      <c r="D207" s="22">
        <v>3</v>
      </c>
      <c r="E207" s="23">
        <v>1885</v>
      </c>
      <c r="F207" s="22"/>
      <c r="G207" s="23">
        <f t="shared" si="80"/>
        <v>1885</v>
      </c>
      <c r="H207" s="23"/>
      <c r="I207" s="23">
        <f>G207*0.1</f>
        <v>188.5</v>
      </c>
      <c r="J207" s="23"/>
      <c r="K207" s="23"/>
      <c r="L207" s="23"/>
      <c r="M207" s="23"/>
      <c r="N207" s="23"/>
      <c r="O207" s="23"/>
      <c r="P207" s="23">
        <f>8000/2-G207</f>
        <v>2115</v>
      </c>
      <c r="Q207" s="23"/>
      <c r="R207" s="23">
        <f>SUM(G207:Q207)</f>
        <v>4188.5</v>
      </c>
      <c r="S207" s="25">
        <f>R207*9</f>
        <v>37696.5</v>
      </c>
    </row>
    <row r="208" spans="1:20" s="27" customFormat="1" ht="25.8" customHeight="1" thickBot="1" x14ac:dyDescent="0.3">
      <c r="A208" s="64"/>
      <c r="B208" s="47" t="s">
        <v>59</v>
      </c>
      <c r="C208" s="34">
        <f>SUM(C206:C207)</f>
        <v>1</v>
      </c>
      <c r="D208" s="34"/>
      <c r="E208" s="35">
        <f>SUM(E206:E207)</f>
        <v>4505</v>
      </c>
      <c r="F208" s="34">
        <f>SUM(F206:F207)</f>
        <v>0</v>
      </c>
      <c r="G208" s="35">
        <f t="shared" si="80"/>
        <v>4505</v>
      </c>
      <c r="H208" s="35"/>
      <c r="I208" s="35">
        <f>SUM(I207)</f>
        <v>188.5</v>
      </c>
      <c r="J208" s="35"/>
      <c r="K208" s="35">
        <f>SUM(K206:K207)</f>
        <v>786</v>
      </c>
      <c r="L208" s="35">
        <f>SUM(L206:L207)</f>
        <v>3344</v>
      </c>
      <c r="M208" s="35"/>
      <c r="N208" s="35"/>
      <c r="O208" s="35"/>
      <c r="P208" s="35">
        <f>SUM(P207)</f>
        <v>2115</v>
      </c>
      <c r="Q208" s="35"/>
      <c r="R208" s="35">
        <f>SUM(R206:R207)</f>
        <v>10938.5</v>
      </c>
      <c r="S208" s="36">
        <f>SUM(S206:S207)</f>
        <v>98446.5</v>
      </c>
    </row>
    <row r="209" spans="1:20" ht="22.2" customHeight="1" x14ac:dyDescent="0.25">
      <c r="A209" s="15"/>
      <c r="B209" s="55" t="s">
        <v>283</v>
      </c>
      <c r="C209" s="85"/>
      <c r="D209" s="85"/>
      <c r="E209" s="94"/>
      <c r="F209" s="85"/>
      <c r="G209" s="94"/>
      <c r="H209" s="94"/>
      <c r="I209" s="94"/>
      <c r="J209" s="94"/>
      <c r="K209" s="94"/>
      <c r="L209" s="94"/>
      <c r="M209" s="94"/>
      <c r="N209" s="94"/>
      <c r="O209" s="94"/>
      <c r="P209" s="94"/>
      <c r="Q209" s="94"/>
      <c r="R209" s="94"/>
      <c r="S209" s="110"/>
    </row>
    <row r="210" spans="1:20" s="13" customFormat="1" x14ac:dyDescent="0.25">
      <c r="A210" s="20" t="s">
        <v>284</v>
      </c>
      <c r="B210" s="66" t="s">
        <v>130</v>
      </c>
      <c r="C210" s="22">
        <v>0.5</v>
      </c>
      <c r="D210" s="22">
        <v>10</v>
      </c>
      <c r="E210" s="23">
        <v>2907.5</v>
      </c>
      <c r="F210" s="22"/>
      <c r="G210" s="23">
        <f t="shared" ref="G210:G213" si="81">E210+F210</f>
        <v>2907.5</v>
      </c>
      <c r="H210" s="23"/>
      <c r="I210" s="23"/>
      <c r="J210" s="23"/>
      <c r="K210" s="23">
        <f>G210*0.3</f>
        <v>872.25</v>
      </c>
      <c r="L210" s="23">
        <f>13500/2-G210-K210</f>
        <v>2970.25</v>
      </c>
      <c r="M210" s="23"/>
      <c r="N210" s="23"/>
      <c r="O210" s="23"/>
      <c r="P210" s="23"/>
      <c r="Q210" s="23"/>
      <c r="R210" s="23">
        <f>G210+K210+L210</f>
        <v>6750</v>
      </c>
      <c r="S210" s="25">
        <f>R210*9</f>
        <v>60750</v>
      </c>
    </row>
    <row r="211" spans="1:20" x14ac:dyDescent="0.25">
      <c r="A211" s="20" t="s">
        <v>285</v>
      </c>
      <c r="B211" s="21" t="s">
        <v>134</v>
      </c>
      <c r="C211" s="22">
        <v>0.5</v>
      </c>
      <c r="D211" s="22">
        <v>3</v>
      </c>
      <c r="E211" s="23">
        <v>1885</v>
      </c>
      <c r="F211" s="22"/>
      <c r="G211" s="23">
        <f t="shared" si="81"/>
        <v>1885</v>
      </c>
      <c r="H211" s="23"/>
      <c r="I211" s="23">
        <f>G211*0.1</f>
        <v>188.5</v>
      </c>
      <c r="J211" s="23"/>
      <c r="K211" s="23"/>
      <c r="L211" s="23"/>
      <c r="M211" s="23"/>
      <c r="N211" s="23"/>
      <c r="O211" s="23"/>
      <c r="P211" s="23">
        <f>8000/2-G211</f>
        <v>2115</v>
      </c>
      <c r="Q211" s="23"/>
      <c r="R211" s="23">
        <f>SUM(G211:Q211)</f>
        <v>4188.5</v>
      </c>
      <c r="S211" s="25">
        <f>R211*9</f>
        <v>37696.5</v>
      </c>
    </row>
    <row r="212" spans="1:20" x14ac:dyDescent="0.25">
      <c r="A212" s="20" t="s">
        <v>286</v>
      </c>
      <c r="B212" s="21" t="s">
        <v>227</v>
      </c>
      <c r="C212" s="22">
        <v>1</v>
      </c>
      <c r="D212" s="22">
        <v>1</v>
      </c>
      <c r="E212" s="23">
        <v>3195</v>
      </c>
      <c r="F212" s="22"/>
      <c r="G212" s="23">
        <f t="shared" si="81"/>
        <v>3195</v>
      </c>
      <c r="H212" s="23"/>
      <c r="I212" s="23"/>
      <c r="J212" s="23"/>
      <c r="K212" s="23"/>
      <c r="L212" s="23"/>
      <c r="M212" s="23"/>
      <c r="N212" s="23"/>
      <c r="O212" s="23"/>
      <c r="P212" s="23">
        <f>8000-G212</f>
        <v>4805</v>
      </c>
      <c r="Q212" s="23"/>
      <c r="R212" s="23">
        <f>E212+P212</f>
        <v>8000</v>
      </c>
      <c r="S212" s="25">
        <f>R212*3</f>
        <v>24000</v>
      </c>
    </row>
    <row r="213" spans="1:20" s="49" customFormat="1" ht="26.4" customHeight="1" thickBot="1" x14ac:dyDescent="0.3">
      <c r="A213" s="118"/>
      <c r="B213" s="47" t="s">
        <v>59</v>
      </c>
      <c r="C213" s="34">
        <f>SUM(C210:C212)</f>
        <v>2</v>
      </c>
      <c r="D213" s="34"/>
      <c r="E213" s="35">
        <f>SUM(E210:E212)</f>
        <v>7987.5</v>
      </c>
      <c r="F213" s="34">
        <f>SUM(F210:F212)</f>
        <v>0</v>
      </c>
      <c r="G213" s="35">
        <f t="shared" si="81"/>
        <v>7987.5</v>
      </c>
      <c r="H213" s="35"/>
      <c r="I213" s="35">
        <f>SUM(I211:I212)</f>
        <v>188.5</v>
      </c>
      <c r="J213" s="35"/>
      <c r="K213" s="35">
        <f>SUM(K210:K212)</f>
        <v>872.25</v>
      </c>
      <c r="L213" s="35">
        <f>SUM(L210:L212)</f>
        <v>2970.25</v>
      </c>
      <c r="M213" s="35"/>
      <c r="N213" s="35"/>
      <c r="O213" s="35"/>
      <c r="P213" s="35">
        <f>P211+P212</f>
        <v>6920</v>
      </c>
      <c r="Q213" s="35"/>
      <c r="R213" s="35">
        <f>SUM(R210:R212)</f>
        <v>18938.5</v>
      </c>
      <c r="S213" s="36">
        <f>SUM(S210:S212)</f>
        <v>122446.5</v>
      </c>
    </row>
    <row r="214" spans="1:20" ht="21" customHeight="1" x14ac:dyDescent="0.25">
      <c r="A214" s="15"/>
      <c r="B214" s="55" t="s">
        <v>287</v>
      </c>
      <c r="C214" s="85"/>
      <c r="D214" s="85"/>
      <c r="E214" s="94"/>
      <c r="F214" s="85"/>
      <c r="G214" s="94"/>
      <c r="H214" s="94"/>
      <c r="I214" s="94"/>
      <c r="J214" s="94"/>
      <c r="K214" s="94"/>
      <c r="L214" s="94"/>
      <c r="M214" s="94"/>
      <c r="N214" s="94"/>
      <c r="O214" s="94"/>
      <c r="P214" s="94"/>
      <c r="Q214" s="94"/>
      <c r="R214" s="94"/>
      <c r="S214" s="110"/>
    </row>
    <row r="215" spans="1:20" x14ac:dyDescent="0.25">
      <c r="A215" s="20" t="s">
        <v>288</v>
      </c>
      <c r="B215" s="21" t="s">
        <v>220</v>
      </c>
      <c r="C215" s="22">
        <v>1</v>
      </c>
      <c r="D215" s="22">
        <v>10</v>
      </c>
      <c r="E215" s="23">
        <v>5815</v>
      </c>
      <c r="F215" s="22"/>
      <c r="G215" s="23">
        <f t="shared" ref="G215:G219" si="82">E215+F215</f>
        <v>5815</v>
      </c>
      <c r="H215" s="23"/>
      <c r="I215" s="23"/>
      <c r="J215" s="23"/>
      <c r="K215" s="23">
        <f>G215*0.3</f>
        <v>1744.5</v>
      </c>
      <c r="L215" s="23">
        <f>R215-K215-G215</f>
        <v>5940.5</v>
      </c>
      <c r="M215" s="23"/>
      <c r="N215" s="23"/>
      <c r="O215" s="23"/>
      <c r="P215" s="23"/>
      <c r="Q215" s="23"/>
      <c r="R215" s="23">
        <v>13500</v>
      </c>
      <c r="S215" s="25">
        <f>R215*9</f>
        <v>121500</v>
      </c>
    </row>
    <row r="216" spans="1:20" x14ac:dyDescent="0.25">
      <c r="A216" s="20" t="s">
        <v>289</v>
      </c>
      <c r="B216" s="21" t="s">
        <v>130</v>
      </c>
      <c r="C216" s="22">
        <v>1</v>
      </c>
      <c r="D216" s="22">
        <v>7</v>
      </c>
      <c r="E216" s="23">
        <v>4920</v>
      </c>
      <c r="F216" s="22"/>
      <c r="G216" s="23">
        <f t="shared" si="82"/>
        <v>4920</v>
      </c>
      <c r="H216" s="23"/>
      <c r="I216" s="23">
        <f>G216*0.1</f>
        <v>492</v>
      </c>
      <c r="J216" s="23"/>
      <c r="K216" s="23">
        <f>G216*0.3</f>
        <v>1476</v>
      </c>
      <c r="L216" s="23">
        <f>13500-G216-I216-K216</f>
        <v>6612</v>
      </c>
      <c r="M216" s="23"/>
      <c r="N216" s="23"/>
      <c r="O216" s="23"/>
      <c r="P216" s="23"/>
      <c r="Q216" s="23"/>
      <c r="R216" s="23">
        <f>G216+I216+K216+L216</f>
        <v>13500</v>
      </c>
      <c r="S216" s="25">
        <f>R216*9</f>
        <v>121500</v>
      </c>
    </row>
    <row r="217" spans="1:20" x14ac:dyDescent="0.25">
      <c r="A217" s="20" t="s">
        <v>290</v>
      </c>
      <c r="B217" s="21" t="s">
        <v>134</v>
      </c>
      <c r="C217" s="22">
        <v>1</v>
      </c>
      <c r="D217" s="22">
        <v>3</v>
      </c>
      <c r="E217" s="23">
        <v>3770</v>
      </c>
      <c r="F217" s="22"/>
      <c r="G217" s="23">
        <f t="shared" si="82"/>
        <v>3770</v>
      </c>
      <c r="H217" s="23"/>
      <c r="I217" s="23">
        <f>G217*0.1</f>
        <v>377</v>
      </c>
      <c r="J217" s="23"/>
      <c r="K217" s="23"/>
      <c r="L217" s="23"/>
      <c r="M217" s="23"/>
      <c r="N217" s="23"/>
      <c r="O217" s="23"/>
      <c r="P217" s="23">
        <f>8000-G217</f>
        <v>4230</v>
      </c>
      <c r="Q217" s="23"/>
      <c r="R217" s="23">
        <f>SUM(G217:Q217)</f>
        <v>8377</v>
      </c>
      <c r="S217" s="25">
        <f>R217*9</f>
        <v>75393</v>
      </c>
    </row>
    <row r="218" spans="1:20" x14ac:dyDescent="0.25">
      <c r="A218" s="20" t="s">
        <v>291</v>
      </c>
      <c r="B218" s="21" t="s">
        <v>227</v>
      </c>
      <c r="C218" s="22">
        <v>1.5</v>
      </c>
      <c r="D218" s="22">
        <v>1</v>
      </c>
      <c r="E218" s="23">
        <f>3195*C218</f>
        <v>4792.5</v>
      </c>
      <c r="F218" s="22"/>
      <c r="G218" s="23">
        <f t="shared" si="82"/>
        <v>4792.5</v>
      </c>
      <c r="H218" s="23"/>
      <c r="I218" s="23"/>
      <c r="J218" s="23"/>
      <c r="K218" s="23"/>
      <c r="L218" s="23"/>
      <c r="M218" s="23"/>
      <c r="N218" s="23"/>
      <c r="O218" s="23"/>
      <c r="P218" s="23">
        <f>8000*C218-G218</f>
        <v>7207.5</v>
      </c>
      <c r="Q218" s="23"/>
      <c r="R218" s="23">
        <f>E218+P218</f>
        <v>12000</v>
      </c>
      <c r="S218" s="25">
        <f>R218*3</f>
        <v>36000</v>
      </c>
    </row>
    <row r="219" spans="1:20" s="27" customFormat="1" ht="26.4" customHeight="1" thickBot="1" x14ac:dyDescent="0.3">
      <c r="A219" s="64"/>
      <c r="B219" s="47" t="s">
        <v>59</v>
      </c>
      <c r="C219" s="34">
        <f>SUM(C215:C218)</f>
        <v>4.5</v>
      </c>
      <c r="D219" s="34"/>
      <c r="E219" s="35">
        <f>SUM(E215:E218)</f>
        <v>19297.5</v>
      </c>
      <c r="F219" s="34">
        <f>SUM(F215:F218)</f>
        <v>0</v>
      </c>
      <c r="G219" s="35">
        <f t="shared" si="82"/>
        <v>19297.5</v>
      </c>
      <c r="H219" s="35"/>
      <c r="I219" s="35">
        <f>SUM(I216:I218)</f>
        <v>869</v>
      </c>
      <c r="J219" s="35"/>
      <c r="K219" s="35">
        <f>K215+K216</f>
        <v>3220.5</v>
      </c>
      <c r="L219" s="35">
        <f>L215+L216</f>
        <v>12552.5</v>
      </c>
      <c r="M219" s="35"/>
      <c r="N219" s="35"/>
      <c r="O219" s="35"/>
      <c r="P219" s="35">
        <f>SUM(P215:P218)</f>
        <v>11437.5</v>
      </c>
      <c r="Q219" s="35"/>
      <c r="R219" s="35">
        <f>SUM(R215:R218)</f>
        <v>47377</v>
      </c>
      <c r="S219" s="36">
        <f>SUM(S215:S218)</f>
        <v>354393</v>
      </c>
    </row>
    <row r="220" spans="1:20" s="13" customFormat="1" ht="22.2" customHeight="1" x14ac:dyDescent="0.2">
      <c r="A220" s="18"/>
      <c r="B220" s="55" t="s">
        <v>292</v>
      </c>
      <c r="C220" s="85"/>
      <c r="D220" s="85"/>
      <c r="E220" s="94"/>
      <c r="F220" s="85"/>
      <c r="G220" s="94"/>
      <c r="H220" s="94"/>
      <c r="I220" s="94"/>
      <c r="J220" s="94"/>
      <c r="K220" s="94"/>
      <c r="L220" s="94"/>
      <c r="M220" s="94"/>
      <c r="N220" s="94"/>
      <c r="O220" s="94"/>
      <c r="P220" s="94"/>
      <c r="Q220" s="94"/>
      <c r="R220" s="94"/>
      <c r="S220" s="110"/>
    </row>
    <row r="221" spans="1:20" x14ac:dyDescent="0.25">
      <c r="A221" s="20" t="s">
        <v>293</v>
      </c>
      <c r="B221" s="21" t="s">
        <v>220</v>
      </c>
      <c r="C221" s="22">
        <v>1</v>
      </c>
      <c r="D221" s="22">
        <v>10</v>
      </c>
      <c r="E221" s="23">
        <v>5815</v>
      </c>
      <c r="F221" s="22"/>
      <c r="G221" s="23">
        <f t="shared" ref="G221:G223" si="83">E221+F221</f>
        <v>5815</v>
      </c>
      <c r="H221" s="23"/>
      <c r="I221" s="23"/>
      <c r="J221" s="23"/>
      <c r="K221" s="23">
        <f>G221*0.3</f>
        <v>1744.5</v>
      </c>
      <c r="L221" s="23">
        <f>R221-K221-G221</f>
        <v>5940.5</v>
      </c>
      <c r="M221" s="23"/>
      <c r="N221" s="23"/>
      <c r="O221" s="23"/>
      <c r="P221" s="23"/>
      <c r="Q221" s="23"/>
      <c r="R221" s="23">
        <v>13500</v>
      </c>
      <c r="S221" s="25">
        <f>R221*9</f>
        <v>121500</v>
      </c>
    </row>
    <row r="222" spans="1:20" s="38" customFormat="1" x14ac:dyDescent="0.25">
      <c r="A222" s="20" t="s">
        <v>294</v>
      </c>
      <c r="B222" s="21" t="s">
        <v>134</v>
      </c>
      <c r="C222" s="22">
        <v>0.5</v>
      </c>
      <c r="D222" s="22">
        <v>3</v>
      </c>
      <c r="E222" s="23">
        <v>1885</v>
      </c>
      <c r="F222" s="22"/>
      <c r="G222" s="23">
        <f t="shared" si="83"/>
        <v>1885</v>
      </c>
      <c r="H222" s="23"/>
      <c r="I222" s="23">
        <f>G222*0.1</f>
        <v>188.5</v>
      </c>
      <c r="J222" s="23"/>
      <c r="K222" s="23"/>
      <c r="L222" s="23"/>
      <c r="M222" s="23"/>
      <c r="N222" s="23"/>
      <c r="O222" s="23"/>
      <c r="P222" s="23">
        <f>8000/2-G222</f>
        <v>2115</v>
      </c>
      <c r="Q222" s="23"/>
      <c r="R222" s="23">
        <f>SUM(G222:Q222)</f>
        <v>4188.5</v>
      </c>
      <c r="S222" s="25">
        <f>R222*9</f>
        <v>37696.5</v>
      </c>
      <c r="T222" s="46"/>
    </row>
    <row r="223" spans="1:20" s="27" customFormat="1" ht="27.6" customHeight="1" thickBot="1" x14ac:dyDescent="0.3">
      <c r="A223" s="64"/>
      <c r="B223" s="47" t="s">
        <v>59</v>
      </c>
      <c r="C223" s="34">
        <f>SUM(C221:C222)</f>
        <v>1.5</v>
      </c>
      <c r="D223" s="34"/>
      <c r="E223" s="35">
        <f>SUM(E221:E222)</f>
        <v>7700</v>
      </c>
      <c r="F223" s="34">
        <f>SUM(F221:F222)</f>
        <v>0</v>
      </c>
      <c r="G223" s="35">
        <f t="shared" si="83"/>
        <v>7700</v>
      </c>
      <c r="H223" s="35"/>
      <c r="I223" s="35">
        <f>SUM(I222)</f>
        <v>188.5</v>
      </c>
      <c r="J223" s="35"/>
      <c r="K223" s="35">
        <f>SUM(K221:K222)</f>
        <v>1744.5</v>
      </c>
      <c r="L223" s="35">
        <f>SUM(L221:L222)</f>
        <v>5940.5</v>
      </c>
      <c r="M223" s="35"/>
      <c r="N223" s="35"/>
      <c r="O223" s="35"/>
      <c r="P223" s="35">
        <f>SUM(P222)</f>
        <v>2115</v>
      </c>
      <c r="Q223" s="35"/>
      <c r="R223" s="35">
        <f>SUM(R221:R222)</f>
        <v>17688.5</v>
      </c>
      <c r="S223" s="36">
        <f>SUM(S221:S222)</f>
        <v>159196.5</v>
      </c>
    </row>
    <row r="224" spans="1:20" ht="22.2" customHeight="1" x14ac:dyDescent="0.25">
      <c r="A224" s="15"/>
      <c r="B224" s="55" t="s">
        <v>295</v>
      </c>
      <c r="C224" s="85"/>
      <c r="D224" s="85"/>
      <c r="E224" s="94"/>
      <c r="F224" s="85"/>
      <c r="G224" s="94"/>
      <c r="H224" s="94"/>
      <c r="I224" s="94"/>
      <c r="J224" s="94"/>
      <c r="K224" s="94"/>
      <c r="L224" s="94"/>
      <c r="M224" s="94"/>
      <c r="N224" s="94"/>
      <c r="O224" s="94"/>
      <c r="P224" s="94"/>
      <c r="Q224" s="94"/>
      <c r="R224" s="94"/>
      <c r="S224" s="110"/>
    </row>
    <row r="225" spans="1:19" x14ac:dyDescent="0.25">
      <c r="A225" s="20" t="s">
        <v>296</v>
      </c>
      <c r="B225" s="21" t="s">
        <v>130</v>
      </c>
      <c r="C225" s="22">
        <v>0.5</v>
      </c>
      <c r="D225" s="22">
        <v>10</v>
      </c>
      <c r="E225" s="23">
        <v>2907.5</v>
      </c>
      <c r="F225" s="22"/>
      <c r="G225" s="23">
        <f t="shared" ref="G225:G226" si="84">E225+F225</f>
        <v>2907.5</v>
      </c>
      <c r="H225" s="23"/>
      <c r="I225" s="23"/>
      <c r="J225" s="23"/>
      <c r="K225" s="23">
        <f>G225*0.3</f>
        <v>872.25</v>
      </c>
      <c r="L225" s="23">
        <f>13500/2-G225-K225</f>
        <v>2970.25</v>
      </c>
      <c r="M225" s="23"/>
      <c r="N225" s="23"/>
      <c r="O225" s="23"/>
      <c r="P225" s="23"/>
      <c r="Q225" s="23"/>
      <c r="R225" s="23">
        <f>G225+K225+L225</f>
        <v>6750</v>
      </c>
      <c r="S225" s="25">
        <f>R225*9</f>
        <v>60750</v>
      </c>
    </row>
    <row r="226" spans="1:19" s="27" customFormat="1" ht="25.8" customHeight="1" thickBot="1" x14ac:dyDescent="0.3">
      <c r="A226" s="64"/>
      <c r="B226" s="47" t="s">
        <v>59</v>
      </c>
      <c r="C226" s="34">
        <f>SUM(C225:C225)</f>
        <v>0.5</v>
      </c>
      <c r="D226" s="34"/>
      <c r="E226" s="35">
        <f>SUM(E225:E225)</f>
        <v>2907.5</v>
      </c>
      <c r="F226" s="34">
        <f>SUM(F225:F225)</f>
        <v>0</v>
      </c>
      <c r="G226" s="35">
        <f t="shared" si="84"/>
        <v>2907.5</v>
      </c>
      <c r="H226" s="35"/>
      <c r="I226" s="35">
        <v>0</v>
      </c>
      <c r="J226" s="35"/>
      <c r="K226" s="35">
        <f>SUM(K225:K225)</f>
        <v>872.25</v>
      </c>
      <c r="L226" s="35">
        <f>SUM(L225:L225)</f>
        <v>2970.25</v>
      </c>
      <c r="M226" s="35"/>
      <c r="N226" s="35"/>
      <c r="O226" s="35"/>
      <c r="P226" s="35">
        <v>0</v>
      </c>
      <c r="Q226" s="35"/>
      <c r="R226" s="35">
        <f>SUM(R225:R225)</f>
        <v>6750</v>
      </c>
      <c r="S226" s="36">
        <f>SUM(S225:S225)</f>
        <v>60750</v>
      </c>
    </row>
    <row r="227" spans="1:19" ht="18.600000000000001" customHeight="1" x14ac:dyDescent="0.25">
      <c r="A227" s="15"/>
      <c r="B227" s="55" t="s">
        <v>298</v>
      </c>
      <c r="C227" s="85"/>
      <c r="D227" s="85"/>
      <c r="E227" s="94"/>
      <c r="F227" s="85"/>
      <c r="G227" s="94"/>
      <c r="H227" s="94"/>
      <c r="I227" s="94"/>
      <c r="J227" s="94"/>
      <c r="K227" s="94"/>
      <c r="L227" s="94"/>
      <c r="M227" s="94"/>
      <c r="N227" s="94"/>
      <c r="O227" s="94"/>
      <c r="P227" s="94"/>
      <c r="Q227" s="94"/>
      <c r="R227" s="94"/>
      <c r="S227" s="110"/>
    </row>
    <row r="228" spans="1:19" x14ac:dyDescent="0.25">
      <c r="A228" s="20" t="s">
        <v>299</v>
      </c>
      <c r="B228" s="21" t="s">
        <v>130</v>
      </c>
      <c r="C228" s="22">
        <v>0.5</v>
      </c>
      <c r="D228" s="22">
        <v>10</v>
      </c>
      <c r="E228" s="23">
        <v>2907.5</v>
      </c>
      <c r="F228" s="22"/>
      <c r="G228" s="23">
        <f t="shared" ref="G228:G230" si="85">E228+F228</f>
        <v>2907.5</v>
      </c>
      <c r="H228" s="23"/>
      <c r="I228" s="23"/>
      <c r="J228" s="23"/>
      <c r="K228" s="23">
        <f>G228*0.3</f>
        <v>872.25</v>
      </c>
      <c r="L228" s="23">
        <f>13500/2-G228-K228</f>
        <v>2970.25</v>
      </c>
      <c r="M228" s="23"/>
      <c r="N228" s="23"/>
      <c r="O228" s="23"/>
      <c r="P228" s="23"/>
      <c r="Q228" s="23"/>
      <c r="R228" s="23">
        <f>G228+K228+L228</f>
        <v>6750</v>
      </c>
      <c r="S228" s="25">
        <f>R228*9</f>
        <v>60750</v>
      </c>
    </row>
    <row r="229" spans="1:19" s="38" customFormat="1" x14ac:dyDescent="0.25">
      <c r="A229" s="20" t="s">
        <v>300</v>
      </c>
      <c r="B229" s="21" t="s">
        <v>134</v>
      </c>
      <c r="C229" s="22">
        <v>0.25</v>
      </c>
      <c r="D229" s="22">
        <v>3</v>
      </c>
      <c r="E229" s="23">
        <v>942.5</v>
      </c>
      <c r="F229" s="22"/>
      <c r="G229" s="23">
        <f t="shared" si="85"/>
        <v>942.5</v>
      </c>
      <c r="H229" s="23"/>
      <c r="I229" s="23">
        <f>G229*0.1</f>
        <v>94.25</v>
      </c>
      <c r="J229" s="23"/>
      <c r="K229" s="23"/>
      <c r="L229" s="23"/>
      <c r="M229" s="23"/>
      <c r="N229" s="23"/>
      <c r="O229" s="23"/>
      <c r="P229" s="23">
        <f>8000*0.25-G229</f>
        <v>1057.5</v>
      </c>
      <c r="Q229" s="23"/>
      <c r="R229" s="23">
        <f>E229+I229+P229</f>
        <v>2094.25</v>
      </c>
      <c r="S229" s="25">
        <f>R229*9</f>
        <v>18848.25</v>
      </c>
    </row>
    <row r="230" spans="1:19" s="27" customFormat="1" ht="27" customHeight="1" thickBot="1" x14ac:dyDescent="0.3">
      <c r="A230" s="64"/>
      <c r="B230" s="47" t="s">
        <v>59</v>
      </c>
      <c r="C230" s="34">
        <f>SUM(C228:C229)</f>
        <v>0.75</v>
      </c>
      <c r="D230" s="34"/>
      <c r="E230" s="35">
        <f>SUM(E228:E229)</f>
        <v>3850</v>
      </c>
      <c r="F230" s="34">
        <f>SUM(F228:F229)</f>
        <v>0</v>
      </c>
      <c r="G230" s="35">
        <f t="shared" si="85"/>
        <v>3850</v>
      </c>
      <c r="H230" s="35"/>
      <c r="I230" s="35">
        <f>SUM(I229)</f>
        <v>94.25</v>
      </c>
      <c r="J230" s="35"/>
      <c r="K230" s="35">
        <f>SUM(K228:K229)</f>
        <v>872.25</v>
      </c>
      <c r="L230" s="35">
        <f>SUM(L228:L229)</f>
        <v>2970.25</v>
      </c>
      <c r="M230" s="35"/>
      <c r="N230" s="35"/>
      <c r="O230" s="35"/>
      <c r="P230" s="35">
        <f>SUM(P229)</f>
        <v>1057.5</v>
      </c>
      <c r="Q230" s="35"/>
      <c r="R230" s="35">
        <f>SUM(R228:R229)</f>
        <v>8844.25</v>
      </c>
      <c r="S230" s="36">
        <f>SUM(S228:S229)</f>
        <v>79598.25</v>
      </c>
    </row>
    <row r="231" spans="1:19" s="49" customFormat="1" ht="23.25" customHeight="1" thickBot="1" x14ac:dyDescent="0.3">
      <c r="A231" s="67"/>
      <c r="B231" s="119" t="s">
        <v>301</v>
      </c>
      <c r="C231" s="120">
        <f>C27+C37+C45+C40+C53+C59+C80+C125+C109+C115+C138+C149+C155+C162+C169+C178+C183+C223+C219+C213+C199+C204+C226+C230+C189+C208+C194+C142</f>
        <v>190</v>
      </c>
      <c r="D231" s="121"/>
      <c r="E231" s="120">
        <f>E27+E37+E45+E40+E53+E59+E80+E125+E109+E115+E138+E149+E155+E162+E169+E178+E183+E219+E223+E213+E199+E204+E226+E189+E208+E194+E142+E230+E119</f>
        <v>1093412.25</v>
      </c>
      <c r="F231" s="120">
        <f t="shared" ref="F231:S231" si="86">F27+F37+F45+F40+F53+F59+F80+F125+F109+F115+F138+F149+F155+F162+F169+F178+F183+F219+F223+F213+F199+F204+F226+F189+F208+F194+F142+F230+F119</f>
        <v>31444.062499999996</v>
      </c>
      <c r="G231" s="120">
        <f t="shared" si="86"/>
        <v>1124856.3125</v>
      </c>
      <c r="H231" s="120">
        <f t="shared" si="86"/>
        <v>23683.75</v>
      </c>
      <c r="I231" s="120">
        <f t="shared" si="86"/>
        <v>26954.946250000001</v>
      </c>
      <c r="J231" s="120">
        <f t="shared" si="86"/>
        <v>491.82400000000001</v>
      </c>
      <c r="K231" s="120">
        <f t="shared" si="86"/>
        <v>222044.26874999993</v>
      </c>
      <c r="L231" s="120">
        <f t="shared" si="86"/>
        <v>884328.80749999988</v>
      </c>
      <c r="M231" s="120" t="e">
        <f t="shared" si="86"/>
        <v>#REF!</v>
      </c>
      <c r="N231" s="120">
        <f t="shared" si="86"/>
        <v>25014.245000000003</v>
      </c>
      <c r="O231" s="120">
        <f t="shared" si="86"/>
        <v>141900.25</v>
      </c>
      <c r="P231" s="120">
        <f t="shared" si="86"/>
        <v>245380.5</v>
      </c>
      <c r="Q231" s="120">
        <f t="shared" si="86"/>
        <v>0</v>
      </c>
      <c r="R231" s="120">
        <f t="shared" si="86"/>
        <v>2698170.6039999998</v>
      </c>
      <c r="S231" s="120">
        <f t="shared" si="86"/>
        <v>24019535.436000001</v>
      </c>
    </row>
    <row r="232" spans="1:19" ht="12.6" thickBot="1" x14ac:dyDescent="0.3">
      <c r="F232" s="13"/>
      <c r="I232" s="68"/>
    </row>
    <row r="233" spans="1:19" ht="15.6" customHeight="1" x14ac:dyDescent="0.25">
      <c r="B233" s="69" t="s">
        <v>302</v>
      </c>
      <c r="C233" s="70">
        <f>C47+C48+C55+C56+C57+C62+C63+C64+C65+C66+C67+C121+C122+C82+C83+C84+C85+C86+C87+C88+C98+C93+C89+C94+C90+C73+C96+C95+C92+C91+C99+C97+C100+C111+C112+C131+C127+C132+C133+C144+C151+C157+C164+C171+C172+C173+C180+C139+C68+C69+C70+C71+C72+C117+C118</f>
        <v>49.75</v>
      </c>
      <c r="D233" s="70"/>
      <c r="E233" s="70">
        <f t="shared" ref="E233:S233" si="87">E47+E48+E55+E56+E57+E62+E63+E64+E65+E66+E67+E121+E122+E82+E83+E84+E85+E86+E87+E88+E98+E93+E89+E94+E90+E73+E96+E95+E92+E91+E99+E97+E100+E111+E112+E131+E127+E132+E133+E144+E151+E157+E164+E171+E172+E173+E180+E139+E68+E69+E70+E71+E72+E117+E118</f>
        <v>349652.25</v>
      </c>
      <c r="F233" s="70"/>
      <c r="G233" s="70"/>
      <c r="H233" s="70"/>
      <c r="I233" s="70"/>
      <c r="J233" s="70"/>
      <c r="K233" s="70"/>
      <c r="L233" s="70"/>
      <c r="M233" s="70"/>
      <c r="N233" s="70"/>
      <c r="O233" s="70"/>
      <c r="P233" s="70"/>
      <c r="Q233" s="70">
        <f t="shared" si="87"/>
        <v>0</v>
      </c>
      <c r="R233" s="70">
        <f t="shared" si="87"/>
        <v>980000</v>
      </c>
      <c r="S233" s="70">
        <f t="shared" si="87"/>
        <v>8820000</v>
      </c>
    </row>
    <row r="234" spans="1:19" ht="15.6" customHeight="1" x14ac:dyDescent="0.25">
      <c r="B234" s="71" t="s">
        <v>303</v>
      </c>
      <c r="C234" s="72">
        <f>C17+C49+C52+C74+C75+C76+C123+C101+C104+C105+C102+C103+C106+C113+C128+C134+C135+C136+C145+C152+C153+C158+C159+C165+C166+C174+C175+C181+C216+C215+C221+C210+C196+C201+C225+C186+C206+C191+C140+C228</f>
        <v>69</v>
      </c>
      <c r="D234" s="72"/>
      <c r="E234" s="123">
        <f>E17+E49+E52+E74+E75+E76+E123+E101+E104+E105+E102+E103+E106+E113+E128+E134+E135+E136+E145+E152+E153+E158+E159+E165+E166+E174+E175+E181+E216+E215+E221+E210+E196+E201+E225+E186+E206+E191+E140+E228</f>
        <v>387530</v>
      </c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  <c r="Q234" s="72">
        <f>Q17+Q49+Q52+Q74+Q75+Q76+Q123+Q101+Q104+Q105+Q102+Q103+Q106+Q113+Q128+Q134+Q135+Q136+Q145+Q152+Q153+Q158+Q159+Q165+Q166+Q174+Q175+Q181+Q216+Q215+Q221+Q210+Q196+Q201+Q225+Q186+Q206+Q191+Q140+Q228</f>
        <v>0</v>
      </c>
      <c r="R234" s="72">
        <f>R17+R49+R52+R74+R75+R76+R123+R101+R104+R105+R102+R103+R106+R113+R128+R134+R135+R136+R145+R152+R153+R158+R159+R165+R166+R174+R175+R181+R216+R215+R221+R210+R196+R201+R225+R186+R206+R191+R140+R228</f>
        <v>940097</v>
      </c>
      <c r="S234" s="89">
        <f>S17+S49+S52+S74+S75+S76+S123+S101+S104+S105+S102+S103+S106+S113+S128+S134+S135+S136+S145+S152+S153+S158+S159+S165+S166+S174+S175+S181+S216+S215+S221+S210+S196+S201+S225+S186+S206+S191+S140+S228</f>
        <v>8460873</v>
      </c>
    </row>
    <row r="235" spans="1:19" ht="15.6" customHeight="1" x14ac:dyDescent="0.25">
      <c r="B235" s="71" t="s">
        <v>304</v>
      </c>
      <c r="C235" s="72">
        <f>C77+C78+C124+C108+C114+C137+C146+C154+C160+C167+C176+C182+C217+C222+C211+C197+C202+C187+C207+C192+C229</f>
        <v>26.75</v>
      </c>
      <c r="D235" s="72"/>
      <c r="E235" s="123">
        <f>E77+E78+E124+E108+E114+E137+E146+E154+E160+E167+E176+E182+E217+E222+E211+E197+E202+E187+E207+E192+E229</f>
        <v>103583.5</v>
      </c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Q235" s="72" t="e">
        <f>Q77+Q78+Q124+Q108+Q114+Q137+Q146+Q154+Q160+Q167+Q176+Q182+Q217+Q222+Q211+Q197+Q202+#REF!+Q187+Q207+Q192+Q229</f>
        <v>#REF!</v>
      </c>
      <c r="R235" s="123">
        <f>R77+R78+R124+R108+R114+R137+R146+R154+R160+R167+R176+R182+R217+R222+R211+R197+R202+R187+R207+R192+R229</f>
        <v>231462.53</v>
      </c>
      <c r="S235" s="124">
        <f>S77+S78+S124+S108+S114+S137+S146+S154+S160+S167+S176+S182+S217+S222+S211+S197+S202+S187+S207+S192+S229</f>
        <v>2083162.77</v>
      </c>
    </row>
    <row r="236" spans="1:19" ht="15.6" customHeight="1" x14ac:dyDescent="0.25">
      <c r="B236" s="71" t="s">
        <v>305</v>
      </c>
      <c r="C236" s="72">
        <f>C14+C15+C16+C18+C19+C20+C21+C22+C23+C24+C25+C26+C29+C30+C31+C32+C34+C35+C36+C42+C43+C44+C39+C50+C51+C58+C79+C107+C147+C148+C161+C168+C177+C218+C212+C198+C203+C188+C193+C141+C33</f>
        <v>45</v>
      </c>
      <c r="D236" s="72"/>
      <c r="E236" s="123">
        <f>E14+E15+E16+E18+E19+E20+E21+E22+E23+E24+E25+E26+E29+E30+E31+E32+E34+E35+E36+E42+E43+E44+E39+E50+E51+E58+E79+E107+E147+E148+E161+E168+E177+E218+E212+E198+E203+E188+E193+E141+E33</f>
        <v>252646.5</v>
      </c>
      <c r="F236" s="72"/>
      <c r="G236" s="72"/>
      <c r="H236" s="72" t="s">
        <v>8</v>
      </c>
      <c r="I236" s="72"/>
      <c r="J236" s="72"/>
      <c r="K236" s="72"/>
      <c r="L236" s="72"/>
      <c r="M236" s="72"/>
      <c r="N236" s="72"/>
      <c r="O236" s="72"/>
      <c r="P236" s="72"/>
      <c r="Q236" s="72">
        <f>Q14+Q15+Q16+Q18+Q19+Q20+Q21+Q22+Q23+Q24+Q25+Q26+Q29+Q30+Q31+Q32+Q34+Q35+Q36+Q42+Q43+Q44+Q39+Q50+Q51+Q58+Q79+Q107+Q147+Q148+Q161+Q168+Q177+Q218+Q212+Q198+Q203+Q188+Q193+Q141+Q33</f>
        <v>0</v>
      </c>
      <c r="R236" s="72">
        <f>R14+R15+R16+R18+R19+R20+R21+R22+R23+R24+R25+R26+R29+R30+R31+R32+R34+R35+R36+R42+R43+R44+R39+R50+R51+R58+R79+R107+R147+R148+R161+R168+R177+R218+R212+R198+R203+R188+R193+R141+R33</f>
        <v>546611.07400000002</v>
      </c>
      <c r="S236" s="72">
        <f>S14+S15+S16+S18+S19+S20+S21+S22+S23+S24+S25+S26+S29+S30+S31+S32+S34+S35+S36+S42+S43+S44+S39+S50+S51+S58+S79+S107+S147+S148+S161+S168+S177+S218+S212+S198+S203+S188+S193+S141+S33</f>
        <v>4655499.6659999993</v>
      </c>
    </row>
    <row r="237" spans="1:19" ht="12.6" thickBot="1" x14ac:dyDescent="0.3">
      <c r="B237" s="73" t="s">
        <v>306</v>
      </c>
      <c r="C237" s="74">
        <f>SUBTOTAL(9,C233:C236)</f>
        <v>190.5</v>
      </c>
      <c r="D237" s="74"/>
      <c r="E237" s="75">
        <f>SUBTOTAL(9,E233:E236)</f>
        <v>1093412.25</v>
      </c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 t="e">
        <f t="shared" ref="Q237:S237" si="88">SUBTOTAL(9,Q233:Q236)</f>
        <v>#REF!</v>
      </c>
      <c r="R237" s="75">
        <f>R233+R234+R235+R236</f>
        <v>2698170.6039999998</v>
      </c>
      <c r="S237" s="76">
        <f t="shared" si="88"/>
        <v>24019535.435999997</v>
      </c>
    </row>
    <row r="238" spans="1:19" ht="19.95" customHeight="1" x14ac:dyDescent="0.25">
      <c r="R238" s="53"/>
    </row>
    <row r="239" spans="1:19" ht="19.2" customHeight="1" x14ac:dyDescent="0.3">
      <c r="B239" s="77" t="s">
        <v>307</v>
      </c>
      <c r="C239" s="78"/>
      <c r="D239" s="78"/>
      <c r="E239" s="79">
        <f>E237</f>
        <v>1093412.25</v>
      </c>
      <c r="G239" s="80"/>
      <c r="H239" s="81"/>
      <c r="I239" s="82"/>
    </row>
    <row r="240" spans="1:19" x14ac:dyDescent="0.25">
      <c r="B240" s="77" t="s">
        <v>308</v>
      </c>
      <c r="E240" s="52">
        <f>S231+E239</f>
        <v>25112947.686000001</v>
      </c>
    </row>
    <row r="242" spans="3:10" ht="15.6" x14ac:dyDescent="0.3">
      <c r="C242" s="83"/>
      <c r="D242" s="83"/>
      <c r="E242" s="83"/>
      <c r="F242" s="83"/>
      <c r="G242" s="83"/>
      <c r="H242" s="83"/>
      <c r="I242" s="83"/>
      <c r="J242" s="83"/>
    </row>
    <row r="243" spans="3:10" ht="15.6" x14ac:dyDescent="0.3">
      <c r="C243" s="83" t="s">
        <v>3</v>
      </c>
      <c r="D243" s="83"/>
      <c r="E243" s="83"/>
      <c r="F243" s="83"/>
      <c r="G243" s="83"/>
      <c r="H243" s="83" t="s">
        <v>309</v>
      </c>
      <c r="I243" s="83"/>
      <c r="J243" s="83"/>
    </row>
    <row r="244" spans="3:10" ht="15.6" x14ac:dyDescent="0.3">
      <c r="C244" s="83"/>
      <c r="D244" s="83"/>
      <c r="E244" s="83"/>
      <c r="F244" s="83"/>
      <c r="G244" s="83"/>
      <c r="H244" s="83"/>
      <c r="I244" s="83"/>
      <c r="J244" s="83"/>
    </row>
    <row r="245" spans="3:10" ht="15.6" x14ac:dyDescent="0.3">
      <c r="C245" s="83"/>
      <c r="D245" s="83"/>
      <c r="E245" s="83"/>
      <c r="F245" s="83"/>
      <c r="G245" s="83"/>
      <c r="H245" s="83"/>
      <c r="I245" s="83"/>
      <c r="J245" s="83"/>
    </row>
    <row r="246" spans="3:10" ht="15.6" x14ac:dyDescent="0.3">
      <c r="C246" s="143" t="s">
        <v>321</v>
      </c>
      <c r="D246" s="143"/>
      <c r="E246" s="143"/>
      <c r="F246" s="83"/>
      <c r="G246" s="83"/>
      <c r="H246" s="83" t="s">
        <v>311</v>
      </c>
      <c r="I246" s="83"/>
      <c r="J246" s="83"/>
    </row>
    <row r="247" spans="3:10" ht="15.6" x14ac:dyDescent="0.3">
      <c r="C247" s="83"/>
      <c r="D247" s="84"/>
      <c r="E247" s="84"/>
      <c r="F247" s="83"/>
      <c r="G247" s="83"/>
      <c r="H247" s="83"/>
      <c r="I247" s="83"/>
      <c r="J247" s="83"/>
    </row>
    <row r="248" spans="3:10" ht="15.6" x14ac:dyDescent="0.3">
      <c r="C248" s="83"/>
      <c r="D248" s="83"/>
      <c r="E248" s="83"/>
      <c r="F248" s="83"/>
      <c r="G248" s="83"/>
      <c r="H248" s="83"/>
      <c r="I248" s="83"/>
      <c r="J248" s="83"/>
    </row>
    <row r="249" spans="3:10" ht="15.6" x14ac:dyDescent="0.3">
      <c r="C249" s="83" t="s">
        <v>46</v>
      </c>
      <c r="D249" s="83"/>
      <c r="E249" s="83"/>
      <c r="F249" s="83"/>
      <c r="G249" s="83"/>
      <c r="H249" s="83" t="s">
        <v>311</v>
      </c>
      <c r="I249" s="83"/>
      <c r="J249" s="83"/>
    </row>
    <row r="250" spans="3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3:10" ht="15.6" x14ac:dyDescent="0.3">
      <c r="C251" s="83"/>
      <c r="D251" s="83"/>
      <c r="E251" s="83"/>
      <c r="F251" s="83"/>
      <c r="G251" s="83"/>
      <c r="H251" s="83"/>
      <c r="I251" s="83"/>
      <c r="J251" s="83"/>
    </row>
    <row r="252" spans="3:10" ht="15.6" x14ac:dyDescent="0.3">
      <c r="C252" s="143"/>
      <c r="D252" s="144"/>
      <c r="E252" s="144"/>
      <c r="F252" s="83"/>
      <c r="G252" s="83"/>
      <c r="H252" s="83"/>
      <c r="I252" s="83"/>
      <c r="J252" s="83"/>
    </row>
    <row r="253" spans="3:10" ht="15.6" x14ac:dyDescent="0.3">
      <c r="C253" s="83"/>
      <c r="D253" s="84"/>
      <c r="E253" s="84"/>
      <c r="F253" s="83"/>
      <c r="G253" s="83"/>
      <c r="H253" s="83"/>
      <c r="I253" s="83"/>
      <c r="J253" s="83"/>
    </row>
    <row r="254" spans="3:10" ht="15.6" x14ac:dyDescent="0.3">
      <c r="C254" s="83"/>
      <c r="D254" s="83"/>
      <c r="E254" s="83"/>
      <c r="F254" s="83"/>
      <c r="G254" s="83"/>
      <c r="H254" s="83"/>
      <c r="I254" s="83"/>
      <c r="J254" s="83"/>
    </row>
    <row r="255" spans="3:10" ht="15.6" x14ac:dyDescent="0.3">
      <c r="C255" s="83"/>
      <c r="D255" s="83"/>
      <c r="E255" s="83"/>
      <c r="F255" s="83"/>
      <c r="G255" s="83"/>
      <c r="H255" s="83"/>
      <c r="I255" s="83"/>
      <c r="J255" s="83"/>
    </row>
  </sheetData>
  <mergeCells count="29">
    <mergeCell ref="C252:E252"/>
    <mergeCell ref="O11:O12"/>
    <mergeCell ref="P11:P12"/>
    <mergeCell ref="Q11:Q12"/>
    <mergeCell ref="R11:R12"/>
    <mergeCell ref="S11:S12"/>
    <mergeCell ref="C246:E246"/>
    <mergeCell ref="F11:F12"/>
    <mergeCell ref="G11:G12"/>
    <mergeCell ref="H11:K11"/>
    <mergeCell ref="L11:L12"/>
    <mergeCell ref="M11:M12"/>
    <mergeCell ref="N11:N12"/>
    <mergeCell ref="M6:S6"/>
    <mergeCell ref="O8:P8"/>
    <mergeCell ref="S8:AH8"/>
    <mergeCell ref="B9:R9"/>
    <mergeCell ref="B10:R10"/>
    <mergeCell ref="A11:A12"/>
    <mergeCell ref="B11:B12"/>
    <mergeCell ref="C11:C12"/>
    <mergeCell ref="D11:D12"/>
    <mergeCell ref="E11:E12"/>
    <mergeCell ref="B1:S1"/>
    <mergeCell ref="M2:S2"/>
    <mergeCell ref="B3:D3"/>
    <mergeCell ref="M3:S3"/>
    <mergeCell ref="B5:D5"/>
    <mergeCell ref="M5:P5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8CE5E-D65A-43BF-9ABA-3BFEE874154B}">
  <dimension ref="A1:AI257"/>
  <sheetViews>
    <sheetView view="pageBreakPreview" topLeftCell="B217" zoomScale="60" zoomScaleNormal="70" workbookViewId="0">
      <selection activeCell="B1" sqref="B1:AH254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2" width="11.33203125" style="2" customWidth="1"/>
    <col min="13" max="13" width="10.21875" style="2" customWidth="1"/>
    <col min="14" max="14" width="9.88671875" style="2" customWidth="1"/>
    <col min="15" max="15" width="12.5546875" style="2" customWidth="1"/>
    <col min="16" max="16" width="10.88671875" style="2" customWidth="1"/>
    <col min="17" max="17" width="0.21875" style="2" customWidth="1"/>
    <col min="18" max="18" width="11.5546875" style="2" customWidth="1"/>
    <col min="19" max="19" width="11.886718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4"/>
      <c r="S1" s="16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63"/>
      <c r="N2" s="164"/>
      <c r="O2" s="164"/>
      <c r="P2" s="164"/>
      <c r="Q2" s="164"/>
      <c r="R2" s="164"/>
      <c r="S2" s="164"/>
    </row>
    <row r="3" spans="1:35" ht="40.799999999999997" customHeight="1" x14ac:dyDescent="0.35">
      <c r="B3" s="165" t="s">
        <v>0</v>
      </c>
      <c r="C3" s="166"/>
      <c r="D3" s="166"/>
      <c r="E3" s="4"/>
      <c r="F3" s="4"/>
      <c r="G3" s="4"/>
      <c r="H3" s="4"/>
      <c r="I3" s="4"/>
      <c r="J3" s="4"/>
      <c r="K3" s="4"/>
      <c r="L3" s="4"/>
      <c r="M3" s="167" t="s">
        <v>1</v>
      </c>
      <c r="N3" s="168"/>
      <c r="O3" s="168"/>
      <c r="P3" s="168"/>
      <c r="Q3" s="168"/>
      <c r="R3" s="168"/>
      <c r="S3" s="168"/>
    </row>
    <row r="4" spans="1:35" ht="11.4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/>
      <c r="N4"/>
      <c r="O4"/>
      <c r="P4"/>
      <c r="Q4"/>
      <c r="R4"/>
      <c r="S4"/>
    </row>
    <row r="5" spans="1:35" ht="17.399999999999999" x14ac:dyDescent="0.3">
      <c r="B5" s="169" t="s">
        <v>2</v>
      </c>
      <c r="C5" s="169"/>
      <c r="D5" s="169"/>
      <c r="G5" s="8"/>
      <c r="H5" s="8"/>
      <c r="I5" s="8"/>
      <c r="J5" s="8"/>
      <c r="K5" s="8"/>
      <c r="L5" s="8"/>
      <c r="M5" s="143" t="s">
        <v>3</v>
      </c>
      <c r="N5" s="144"/>
      <c r="O5" s="144"/>
      <c r="P5" s="144"/>
      <c r="Q5" s="9"/>
      <c r="R5" s="9"/>
      <c r="S5" s="3"/>
    </row>
    <row r="6" spans="1:35" ht="29.4" customHeight="1" x14ac:dyDescent="0.3">
      <c r="B6" s="10"/>
      <c r="G6" s="11"/>
      <c r="H6" s="12"/>
      <c r="M6" s="155" t="s">
        <v>4</v>
      </c>
      <c r="N6" s="144"/>
      <c r="O6" s="144"/>
      <c r="P6" s="144"/>
      <c r="Q6" s="144"/>
      <c r="R6" s="144"/>
      <c r="S6" s="144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6" t="s">
        <v>333</v>
      </c>
      <c r="P8" s="157"/>
      <c r="Q8" s="13"/>
      <c r="R8" s="13"/>
      <c r="S8" s="158" t="s">
        <v>6</v>
      </c>
      <c r="T8" s="158"/>
      <c r="U8" s="158"/>
      <c r="V8" s="158"/>
      <c r="W8" s="158"/>
      <c r="X8" s="158"/>
      <c r="Y8" s="158"/>
      <c r="Z8" s="158"/>
      <c r="AA8" s="158"/>
      <c r="AB8" s="158"/>
      <c r="AC8" s="158"/>
      <c r="AD8" s="158"/>
      <c r="AE8" s="158"/>
      <c r="AF8" s="158"/>
      <c r="AG8" s="158"/>
      <c r="AH8" s="158"/>
      <c r="AI8" s="14"/>
    </row>
    <row r="9" spans="1:35" ht="23.4" customHeight="1" x14ac:dyDescent="0.3">
      <c r="B9" s="159" t="s">
        <v>7</v>
      </c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4" t="s">
        <v>8</v>
      </c>
    </row>
    <row r="10" spans="1:35" ht="27.6" customHeight="1" thickBot="1" x14ac:dyDescent="0.35">
      <c r="B10" s="160" t="s">
        <v>329</v>
      </c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</row>
    <row r="11" spans="1:35" ht="37.950000000000003" customHeight="1" x14ac:dyDescent="0.25">
      <c r="A11" s="161"/>
      <c r="B11" s="149" t="s">
        <v>10</v>
      </c>
      <c r="C11" s="151" t="s">
        <v>11</v>
      </c>
      <c r="D11" s="151" t="s">
        <v>12</v>
      </c>
      <c r="E11" s="151" t="s">
        <v>13</v>
      </c>
      <c r="F11" s="151" t="s">
        <v>14</v>
      </c>
      <c r="G11" s="151" t="s">
        <v>15</v>
      </c>
      <c r="H11" s="151" t="s">
        <v>16</v>
      </c>
      <c r="I11" s="151"/>
      <c r="J11" s="151"/>
      <c r="K11" s="151"/>
      <c r="L11" s="147" t="s">
        <v>17</v>
      </c>
      <c r="M11" s="147" t="s">
        <v>18</v>
      </c>
      <c r="N11" s="147" t="s">
        <v>19</v>
      </c>
      <c r="O11" s="145" t="s">
        <v>20</v>
      </c>
      <c r="P11" s="147" t="s">
        <v>21</v>
      </c>
      <c r="Q11" s="149"/>
      <c r="R11" s="151" t="s">
        <v>22</v>
      </c>
      <c r="S11" s="153" t="s">
        <v>330</v>
      </c>
    </row>
    <row r="12" spans="1:35" ht="64.95" customHeight="1" thickBot="1" x14ac:dyDescent="0.3">
      <c r="A12" s="162"/>
      <c r="B12" s="150"/>
      <c r="C12" s="152"/>
      <c r="D12" s="152"/>
      <c r="E12" s="152"/>
      <c r="F12" s="152"/>
      <c r="G12" s="152"/>
      <c r="H12" s="16" t="s">
        <v>24</v>
      </c>
      <c r="I12" s="17" t="s">
        <v>25</v>
      </c>
      <c r="J12" s="17" t="s">
        <v>26</v>
      </c>
      <c r="K12" s="16" t="s">
        <v>27</v>
      </c>
      <c r="L12" s="148"/>
      <c r="M12" s="148"/>
      <c r="N12" s="148"/>
      <c r="O12" s="146"/>
      <c r="P12" s="148"/>
      <c r="Q12" s="150"/>
      <c r="R12" s="152"/>
      <c r="S12" s="154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R14*7</f>
        <v>376250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R15*7</f>
        <v>157500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157500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5815</v>
      </c>
      <c r="F17" s="23"/>
      <c r="G17" s="23">
        <f>E17</f>
        <v>5815</v>
      </c>
      <c r="H17" s="23">
        <f>G17*0.5</f>
        <v>2907.5</v>
      </c>
      <c r="I17" s="23" t="s">
        <v>37</v>
      </c>
      <c r="J17" s="24"/>
      <c r="K17" s="22">
        <f>G17*0.3</f>
        <v>1744.5</v>
      </c>
      <c r="L17" s="23"/>
      <c r="M17" s="24"/>
      <c r="N17" s="23"/>
      <c r="O17" s="26">
        <f>G17*200%</f>
        <v>11630</v>
      </c>
      <c r="P17" s="24"/>
      <c r="Q17" s="22"/>
      <c r="R17" s="23">
        <f>N17+K17+H17+E17+L17+O17</f>
        <v>22097</v>
      </c>
      <c r="S17" s="25">
        <f t="shared" si="0"/>
        <v>154679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6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280000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5240*C19</f>
        <v>10480</v>
      </c>
      <c r="F19" s="23"/>
      <c r="G19" s="23">
        <f t="shared" si="1"/>
        <v>10480</v>
      </c>
      <c r="H19" s="23">
        <f t="shared" ref="H19:H26" si="2">G19*0.5</f>
        <v>5240</v>
      </c>
      <c r="I19" s="23"/>
      <c r="J19" s="23"/>
      <c r="K19" s="23"/>
      <c r="L19" s="23" t="s">
        <v>44</v>
      </c>
      <c r="M19" s="23"/>
      <c r="N19" s="23"/>
      <c r="O19" s="23">
        <f>10480*C19</f>
        <v>20960</v>
      </c>
      <c r="P19" s="23" t="s">
        <v>8</v>
      </c>
      <c r="Q19" s="23"/>
      <c r="R19" s="23">
        <f>G19+H19+O19</f>
        <v>36680</v>
      </c>
      <c r="S19" s="25">
        <f t="shared" si="0"/>
        <v>256760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8</v>
      </c>
      <c r="E20" s="23">
        <v>5240</v>
      </c>
      <c r="F20" s="23"/>
      <c r="G20" s="23">
        <f t="shared" si="1"/>
        <v>5240</v>
      </c>
      <c r="H20" s="23">
        <f t="shared" si="2"/>
        <v>2620</v>
      </c>
      <c r="I20" s="23"/>
      <c r="J20" s="23"/>
      <c r="K20" s="23"/>
      <c r="L20" s="23" t="s">
        <v>44</v>
      </c>
      <c r="M20" s="23"/>
      <c r="N20" s="23"/>
      <c r="O20" s="23">
        <v>10480</v>
      </c>
      <c r="P20" s="23" t="s">
        <v>8</v>
      </c>
      <c r="Q20" s="23"/>
      <c r="R20" s="23">
        <f>G20+H20+O20</f>
        <v>18340</v>
      </c>
      <c r="S20" s="25">
        <f t="shared" si="0"/>
        <v>128380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5240</v>
      </c>
      <c r="F21" s="22"/>
      <c r="G21" s="23">
        <f t="shared" si="1"/>
        <v>5240</v>
      </c>
      <c r="H21" s="23">
        <f t="shared" si="2"/>
        <v>2620</v>
      </c>
      <c r="I21" s="24"/>
      <c r="J21" s="24"/>
      <c r="K21" s="22"/>
      <c r="L21" s="24"/>
      <c r="M21" s="24"/>
      <c r="N21" s="23"/>
      <c r="O21" s="23">
        <f>G21*200%</f>
        <v>10480</v>
      </c>
      <c r="P21" s="24"/>
      <c r="Q21" s="22"/>
      <c r="R21" s="23">
        <f t="shared" ref="R21:R25" si="3">G21+H21+O21</f>
        <v>18340</v>
      </c>
      <c r="S21" s="25">
        <f t="shared" si="0"/>
        <v>128380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4633</v>
      </c>
      <c r="F22" s="22"/>
      <c r="G22" s="23">
        <f t="shared" si="1"/>
        <v>4633</v>
      </c>
      <c r="H22" s="22">
        <f t="shared" si="2"/>
        <v>2316.5</v>
      </c>
      <c r="I22" s="24"/>
      <c r="J22" s="24"/>
      <c r="K22" s="22"/>
      <c r="L22" s="24"/>
      <c r="M22" s="24"/>
      <c r="N22" s="23"/>
      <c r="O22" s="23">
        <f>G22*200%</f>
        <v>9266</v>
      </c>
      <c r="P22" s="24"/>
      <c r="Q22" s="22"/>
      <c r="R22" s="23">
        <f t="shared" si="3"/>
        <v>16215.5</v>
      </c>
      <c r="S22" s="25">
        <f t="shared" si="0"/>
        <v>113508.5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E22/2</f>
        <v>2316.5</v>
      </c>
      <c r="F23" s="22"/>
      <c r="G23" s="23">
        <f t="shared" si="1"/>
        <v>2316.5</v>
      </c>
      <c r="H23" s="22">
        <f t="shared" si="2"/>
        <v>1158.25</v>
      </c>
      <c r="I23" s="24"/>
      <c r="J23" s="24"/>
      <c r="K23" s="22"/>
      <c r="L23" s="24"/>
      <c r="M23" s="24"/>
      <c r="N23" s="23"/>
      <c r="O23" s="23">
        <f>G23*150%</f>
        <v>3474.75</v>
      </c>
      <c r="P23" s="24"/>
      <c r="Q23" s="22"/>
      <c r="R23" s="23">
        <f t="shared" si="3"/>
        <v>6949.5</v>
      </c>
      <c r="S23" s="25">
        <f t="shared" si="0"/>
        <v>48646.5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4058</v>
      </c>
      <c r="F24" s="22"/>
      <c r="G24" s="23">
        <f t="shared" si="1"/>
        <v>4058</v>
      </c>
      <c r="H24" s="22">
        <f t="shared" si="2"/>
        <v>2029</v>
      </c>
      <c r="I24" s="24"/>
      <c r="J24" s="24"/>
      <c r="K24" s="22"/>
      <c r="L24" s="24"/>
      <c r="M24" s="24"/>
      <c r="N24" s="23"/>
      <c r="O24" s="23">
        <f>G24*200%</f>
        <v>8116</v>
      </c>
      <c r="P24" s="24"/>
      <c r="Q24" s="22"/>
      <c r="R24" s="23">
        <f t="shared" si="3"/>
        <v>14203</v>
      </c>
      <c r="S24" s="25">
        <f t="shared" si="0"/>
        <v>99421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5527</v>
      </c>
      <c r="F25" s="23"/>
      <c r="G25" s="23">
        <f t="shared" si="1"/>
        <v>5527</v>
      </c>
      <c r="H25" s="23">
        <f t="shared" si="2"/>
        <v>2763.5</v>
      </c>
      <c r="I25" s="23"/>
      <c r="J25" s="23"/>
      <c r="K25" s="23"/>
      <c r="L25" s="23"/>
      <c r="M25" s="23"/>
      <c r="N25" s="23"/>
      <c r="O25" s="23">
        <f>G25*150%</f>
        <v>8290.5</v>
      </c>
      <c r="P25" s="23"/>
      <c r="Q25" s="23"/>
      <c r="R25" s="23">
        <f t="shared" si="3"/>
        <v>16581</v>
      </c>
      <c r="S25" s="25">
        <f t="shared" si="0"/>
        <v>116067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4058*C26</f>
        <v>4058</v>
      </c>
      <c r="F26" s="22"/>
      <c r="G26" s="23">
        <f t="shared" si="1"/>
        <v>4058</v>
      </c>
      <c r="H26" s="22">
        <f t="shared" si="2"/>
        <v>2029</v>
      </c>
      <c r="I26" s="24"/>
      <c r="J26" s="24"/>
      <c r="K26" s="22"/>
      <c r="L26" s="24"/>
      <c r="M26" s="24"/>
      <c r="N26" s="23"/>
      <c r="O26" s="23">
        <f>G26*150%</f>
        <v>6087</v>
      </c>
      <c r="P26" s="24"/>
      <c r="Q26" s="22"/>
      <c r="R26" s="23">
        <f>G26+H26+O26</f>
        <v>12174</v>
      </c>
      <c r="S26" s="25">
        <f t="shared" si="0"/>
        <v>85218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137367.5</v>
      </c>
      <c r="F27" s="34"/>
      <c r="G27" s="35">
        <f>SUM(G14:G26)</f>
        <v>137367.5</v>
      </c>
      <c r="H27" s="34">
        <f>SUM(H14:H26)</f>
        <v>23683.75</v>
      </c>
      <c r="I27" s="90"/>
      <c r="J27" s="90"/>
      <c r="K27" s="34">
        <f>SUM(K14:K26)</f>
        <v>1744.5</v>
      </c>
      <c r="L27" s="90"/>
      <c r="M27" s="34">
        <f>SUM(M14:M26)</f>
        <v>3750</v>
      </c>
      <c r="N27" s="35"/>
      <c r="O27" s="35">
        <f>SUM(O14:O26)</f>
        <v>133784.25</v>
      </c>
      <c r="P27" s="90"/>
      <c r="Q27" s="34"/>
      <c r="R27" s="35">
        <f>SUM(R14:R26)</f>
        <v>300330</v>
      </c>
      <c r="S27" s="36">
        <f>SUM(S14:S26)</f>
        <v>2102310</v>
      </c>
    </row>
    <row r="28" spans="1:19" s="13" customFormat="1" ht="25.2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93"/>
    </row>
    <row r="29" spans="1:19" x14ac:dyDescent="0.25">
      <c r="A29" s="20" t="s">
        <v>61</v>
      </c>
      <c r="B29" s="21" t="s">
        <v>62</v>
      </c>
      <c r="C29" s="22">
        <v>0.5</v>
      </c>
      <c r="D29" s="22">
        <v>7</v>
      </c>
      <c r="E29" s="23">
        <f>4920*C29</f>
        <v>2460</v>
      </c>
      <c r="F29" s="22"/>
      <c r="G29" s="23">
        <f t="shared" ref="G29:G32" si="4">E29+F29</f>
        <v>2460</v>
      </c>
      <c r="H29" s="23"/>
      <c r="I29" s="23"/>
      <c r="J29" s="23"/>
      <c r="K29" s="23"/>
      <c r="L29" s="23"/>
      <c r="M29" s="23"/>
      <c r="N29" s="23"/>
      <c r="O29" s="23"/>
      <c r="P29" s="23">
        <f>8000*C29-G29</f>
        <v>1540</v>
      </c>
      <c r="Q29" s="23"/>
      <c r="R29" s="23">
        <f>G29+H29+I29+ J29+K29+L29+N29+O29+P29</f>
        <v>4000</v>
      </c>
      <c r="S29" s="25">
        <f>R29*7</f>
        <v>28000</v>
      </c>
    </row>
    <row r="30" spans="1:19" x14ac:dyDescent="0.25">
      <c r="A30" s="20" t="s">
        <v>61</v>
      </c>
      <c r="B30" s="21" t="s">
        <v>328</v>
      </c>
      <c r="C30" s="22">
        <v>0.5</v>
      </c>
      <c r="D30" s="22">
        <v>6</v>
      </c>
      <c r="E30" s="23">
        <f>4633*C30</f>
        <v>2316.5</v>
      </c>
      <c r="F30" s="22"/>
      <c r="G30" s="23">
        <f t="shared" ref="G30" si="5">E30+F30</f>
        <v>2316.5</v>
      </c>
      <c r="H30" s="23"/>
      <c r="I30" s="23"/>
      <c r="J30" s="23"/>
      <c r="K30" s="23"/>
      <c r="L30" s="23"/>
      <c r="M30" s="23"/>
      <c r="N30" s="23"/>
      <c r="O30" s="23"/>
      <c r="P30" s="23">
        <f>8000*C30-G30</f>
        <v>1683.5</v>
      </c>
      <c r="Q30" s="23"/>
      <c r="R30" s="23">
        <f>G30+H30+I30+ J30+K30+L30+N30+O30+P30</f>
        <v>4000</v>
      </c>
      <c r="S30" s="25">
        <f t="shared" ref="S30:S37" si="6">R30*7</f>
        <v>28000</v>
      </c>
    </row>
    <row r="31" spans="1:19" x14ac:dyDescent="0.25">
      <c r="A31" s="20" t="s">
        <v>63</v>
      </c>
      <c r="B31" s="21" t="s">
        <v>64</v>
      </c>
      <c r="C31" s="22">
        <v>0.5</v>
      </c>
      <c r="D31" s="22">
        <v>1</v>
      </c>
      <c r="E31" s="23">
        <f>3195*C31</f>
        <v>1597.5</v>
      </c>
      <c r="F31" s="22"/>
      <c r="G31" s="23">
        <f t="shared" si="4"/>
        <v>1597.5</v>
      </c>
      <c r="H31" s="23"/>
      <c r="I31" s="23"/>
      <c r="J31" s="23"/>
      <c r="K31" s="23"/>
      <c r="L31" s="23"/>
      <c r="M31" s="23"/>
      <c r="N31" s="23"/>
      <c r="O31" s="23"/>
      <c r="P31" s="23">
        <f>8000-G31</f>
        <v>6402.5</v>
      </c>
      <c r="Q31" s="23"/>
      <c r="R31" s="23">
        <f t="shared" ref="R31:R32" si="7">G31+H31+I31+ J31+K31+L31+N31+O31+P31</f>
        <v>8000</v>
      </c>
      <c r="S31" s="25">
        <f t="shared" si="6"/>
        <v>56000</v>
      </c>
    </row>
    <row r="32" spans="1:19" x14ac:dyDescent="0.25">
      <c r="A32" s="20" t="s">
        <v>65</v>
      </c>
      <c r="B32" s="21" t="s">
        <v>66</v>
      </c>
      <c r="C32" s="22">
        <v>1.5</v>
      </c>
      <c r="D32" s="22">
        <v>1</v>
      </c>
      <c r="E32" s="23">
        <f>3195*C32</f>
        <v>4792.5</v>
      </c>
      <c r="F32" s="22"/>
      <c r="G32" s="23">
        <f t="shared" si="4"/>
        <v>4792.5</v>
      </c>
      <c r="H32" s="23"/>
      <c r="I32" s="23"/>
      <c r="J32" s="23"/>
      <c r="K32" s="23"/>
      <c r="L32" s="23"/>
      <c r="M32" s="23"/>
      <c r="N32" s="23"/>
      <c r="O32" s="23"/>
      <c r="P32" s="23">
        <f t="shared" ref="P32" si="8">8000-G32</f>
        <v>3207.5</v>
      </c>
      <c r="Q32" s="23"/>
      <c r="R32" s="23">
        <f t="shared" si="7"/>
        <v>8000</v>
      </c>
      <c r="S32" s="25">
        <f t="shared" si="6"/>
        <v>56000</v>
      </c>
    </row>
    <row r="33" spans="1:19" x14ac:dyDescent="0.25">
      <c r="A33" s="20" t="s">
        <v>67</v>
      </c>
      <c r="B33" s="21" t="s">
        <v>68</v>
      </c>
      <c r="C33" s="22">
        <v>1.5</v>
      </c>
      <c r="D33" s="22">
        <v>3</v>
      </c>
      <c r="E33" s="23">
        <f>3770*C33</f>
        <v>5655</v>
      </c>
      <c r="F33" s="22"/>
      <c r="G33" s="23">
        <f t="shared" si="1"/>
        <v>5655</v>
      </c>
      <c r="H33" s="23"/>
      <c r="I33" s="23"/>
      <c r="J33" s="23"/>
      <c r="K33" s="23"/>
      <c r="L33" s="23"/>
      <c r="M33" s="23"/>
      <c r="N33" s="23"/>
      <c r="O33" s="23"/>
      <c r="P33" s="23">
        <f>8000*C33-G33</f>
        <v>6345</v>
      </c>
      <c r="Q33" s="23"/>
      <c r="R33" s="23">
        <f>G33+H33+I33+ J33+K33+L33+N33+O33+P33</f>
        <v>12000</v>
      </c>
      <c r="S33" s="25">
        <f t="shared" si="6"/>
        <v>84000</v>
      </c>
    </row>
    <row r="34" spans="1:19" ht="24" x14ac:dyDescent="0.25">
      <c r="A34" s="20" t="s">
        <v>67</v>
      </c>
      <c r="B34" s="21" t="s">
        <v>315</v>
      </c>
      <c r="C34" s="22">
        <v>0.5</v>
      </c>
      <c r="D34" s="22">
        <v>3</v>
      </c>
      <c r="E34" s="23">
        <f>3770*C34</f>
        <v>1885</v>
      </c>
      <c r="F34" s="22"/>
      <c r="G34" s="23">
        <f t="shared" si="1"/>
        <v>1885</v>
      </c>
      <c r="H34" s="23"/>
      <c r="I34" s="23"/>
      <c r="J34" s="23"/>
      <c r="K34" s="23"/>
      <c r="L34" s="23"/>
      <c r="M34" s="23"/>
      <c r="N34" s="23"/>
      <c r="O34" s="23"/>
      <c r="P34" s="23">
        <f>8000*C34-G34</f>
        <v>2115</v>
      </c>
      <c r="Q34" s="23"/>
      <c r="R34" s="23">
        <f>G34+H34+I34+ J34+K34+L34+N34+O34+P34</f>
        <v>4000</v>
      </c>
      <c r="S34" s="25">
        <f t="shared" si="6"/>
        <v>28000</v>
      </c>
    </row>
    <row r="35" spans="1:19" ht="12.6" customHeight="1" x14ac:dyDescent="0.25">
      <c r="A35" s="20" t="s">
        <v>69</v>
      </c>
      <c r="B35" s="21" t="s">
        <v>70</v>
      </c>
      <c r="C35" s="22">
        <v>1</v>
      </c>
      <c r="D35" s="22">
        <v>2</v>
      </c>
      <c r="E35" s="23">
        <v>3483</v>
      </c>
      <c r="F35" s="22">
        <f>E35*0.2</f>
        <v>696.6</v>
      </c>
      <c r="G35" s="23">
        <f t="shared" si="1"/>
        <v>4179.6000000000004</v>
      </c>
      <c r="H35" s="23"/>
      <c r="I35" s="23"/>
      <c r="J35" s="23">
        <f>G35*4%</f>
        <v>167.18400000000003</v>
      </c>
      <c r="K35" s="23"/>
      <c r="L35" s="23"/>
      <c r="M35" s="23"/>
      <c r="N35" s="23"/>
      <c r="O35" s="23"/>
      <c r="P35" s="23">
        <f>8000-E35</f>
        <v>4517</v>
      </c>
      <c r="Q35" s="23"/>
      <c r="R35" s="23">
        <f>G35+J35+P35</f>
        <v>8863.7839999999997</v>
      </c>
      <c r="S35" s="25">
        <f t="shared" si="6"/>
        <v>62046.487999999998</v>
      </c>
    </row>
    <row r="36" spans="1:19" ht="18" customHeight="1" x14ac:dyDescent="0.25">
      <c r="A36" s="20" t="s">
        <v>71</v>
      </c>
      <c r="B36" s="21" t="s">
        <v>72</v>
      </c>
      <c r="C36" s="22">
        <v>1</v>
      </c>
      <c r="D36" s="22">
        <v>1</v>
      </c>
      <c r="E36" s="23">
        <v>3195</v>
      </c>
      <c r="F36" s="22"/>
      <c r="G36" s="23">
        <f t="shared" si="1"/>
        <v>3195</v>
      </c>
      <c r="H36" s="23"/>
      <c r="I36" s="23"/>
      <c r="J36" s="23"/>
      <c r="K36" s="23"/>
      <c r="L36" s="23"/>
      <c r="M36" s="23"/>
      <c r="N36" s="23"/>
      <c r="O36" s="23"/>
      <c r="P36" s="23">
        <f>8000-G36</f>
        <v>4805</v>
      </c>
      <c r="Q36" s="23"/>
      <c r="R36" s="23">
        <f t="shared" ref="R36" si="9">G36+H36+I36+ J36+K36+L36+N36+O36+P36</f>
        <v>8000</v>
      </c>
      <c r="S36" s="25">
        <f t="shared" si="6"/>
        <v>56000</v>
      </c>
    </row>
    <row r="37" spans="1:19" x14ac:dyDescent="0.25">
      <c r="A37" s="20" t="s">
        <v>73</v>
      </c>
      <c r="B37" s="21" t="s">
        <v>74</v>
      </c>
      <c r="C37" s="22">
        <v>1</v>
      </c>
      <c r="D37" s="22">
        <v>5</v>
      </c>
      <c r="E37" s="23">
        <v>4345</v>
      </c>
      <c r="F37" s="23"/>
      <c r="G37" s="23">
        <f>E37+F37</f>
        <v>4345</v>
      </c>
      <c r="H37" s="23"/>
      <c r="I37" s="23"/>
      <c r="J37" s="23"/>
      <c r="K37" s="23"/>
      <c r="L37" s="23"/>
      <c r="M37" s="23"/>
      <c r="N37" s="23"/>
      <c r="O37" s="23"/>
      <c r="P37" s="23">
        <f>8000-G37</f>
        <v>3655</v>
      </c>
      <c r="Q37" s="32"/>
      <c r="R37" s="23">
        <f>G37+P37</f>
        <v>8000</v>
      </c>
      <c r="S37" s="25">
        <f t="shared" si="6"/>
        <v>56000</v>
      </c>
    </row>
    <row r="38" spans="1:19" s="27" customFormat="1" ht="20.399999999999999" customHeight="1" thickBot="1" x14ac:dyDescent="0.3">
      <c r="A38" s="64"/>
      <c r="B38" s="47" t="s">
        <v>59</v>
      </c>
      <c r="C38" s="34">
        <f>SUM(C29:C37)</f>
        <v>8</v>
      </c>
      <c r="D38" s="34"/>
      <c r="E38" s="35">
        <f>SUM(E29:E37)</f>
        <v>29729.5</v>
      </c>
      <c r="F38" s="34">
        <f>SUM(F29:F37)</f>
        <v>696.6</v>
      </c>
      <c r="G38" s="35">
        <f>E38+F38</f>
        <v>30426.1</v>
      </c>
      <c r="H38" s="35"/>
      <c r="I38" s="35">
        <f>SUM(I29:I36)</f>
        <v>0</v>
      </c>
      <c r="J38" s="35">
        <f>SUM(J29:J36)</f>
        <v>167.18400000000003</v>
      </c>
      <c r="K38" s="35"/>
      <c r="L38" s="35"/>
      <c r="M38" s="35"/>
      <c r="N38" s="35"/>
      <c r="O38" s="35"/>
      <c r="P38" s="35">
        <f>SUM(P29:P37)</f>
        <v>34270.5</v>
      </c>
      <c r="Q38" s="35"/>
      <c r="R38" s="35">
        <f>SUM(R29:R37)</f>
        <v>64863.784</v>
      </c>
      <c r="S38" s="36">
        <f>SUM(S29:S37)</f>
        <v>454046.48800000001</v>
      </c>
    </row>
    <row r="39" spans="1:19" ht="25.8" customHeight="1" x14ac:dyDescent="0.25">
      <c r="A39" s="18"/>
      <c r="B39" s="86" t="s">
        <v>75</v>
      </c>
      <c r="C39" s="85"/>
      <c r="D39" s="85"/>
      <c r="E39" s="85"/>
      <c r="F39" s="85"/>
      <c r="G39" s="94"/>
      <c r="H39" s="85" t="s">
        <v>76</v>
      </c>
      <c r="I39" s="95"/>
      <c r="J39" s="95"/>
      <c r="K39" s="85"/>
      <c r="L39" s="95"/>
      <c r="M39" s="95"/>
      <c r="N39" s="95"/>
      <c r="O39" s="95"/>
      <c r="P39" s="95"/>
      <c r="Q39" s="85"/>
      <c r="R39" s="85"/>
      <c r="S39" s="96"/>
    </row>
    <row r="40" spans="1:19" s="13" customFormat="1" x14ac:dyDescent="0.2">
      <c r="A40" s="28" t="s">
        <v>77</v>
      </c>
      <c r="B40" s="21" t="s">
        <v>78</v>
      </c>
      <c r="C40" s="22">
        <v>2.5</v>
      </c>
      <c r="D40" s="22">
        <v>2</v>
      </c>
      <c r="E40" s="23">
        <f>3483*C40</f>
        <v>8707.5</v>
      </c>
      <c r="F40" s="22"/>
      <c r="G40" s="23">
        <f t="shared" ref="G40:G41" si="10">E40+F40</f>
        <v>8707.5</v>
      </c>
      <c r="H40" s="23"/>
      <c r="I40" s="23"/>
      <c r="J40" s="23"/>
      <c r="K40" s="23"/>
      <c r="L40" s="23"/>
      <c r="M40" s="23"/>
      <c r="N40" s="23"/>
      <c r="O40" s="23"/>
      <c r="P40" s="23">
        <f>8000*C40-G40</f>
        <v>11292.5</v>
      </c>
      <c r="Q40" s="23"/>
      <c r="R40" s="23">
        <f t="shared" ref="R40" si="11">G40+H40+I40+ J40+K40+L40+N40+O40+P40</f>
        <v>20000</v>
      </c>
      <c r="S40" s="25">
        <f>R40*7</f>
        <v>140000</v>
      </c>
    </row>
    <row r="41" spans="1:19" s="37" customFormat="1" ht="16.8" customHeight="1" thickBot="1" x14ac:dyDescent="0.3">
      <c r="A41" s="33"/>
      <c r="B41" s="47" t="s">
        <v>59</v>
      </c>
      <c r="C41" s="34">
        <f>SUM(C40:C40)</f>
        <v>2.5</v>
      </c>
      <c r="D41" s="34"/>
      <c r="E41" s="35">
        <f>SUM(E40:E40)</f>
        <v>8707.5</v>
      </c>
      <c r="F41" s="34"/>
      <c r="G41" s="35">
        <f t="shared" si="10"/>
        <v>8707.5</v>
      </c>
      <c r="H41" s="35"/>
      <c r="I41" s="35"/>
      <c r="J41" s="35"/>
      <c r="K41" s="35"/>
      <c r="L41" s="35"/>
      <c r="M41" s="35"/>
      <c r="N41" s="35"/>
      <c r="O41" s="35"/>
      <c r="P41" s="35">
        <f>SUM(P40:P40)</f>
        <v>11292.5</v>
      </c>
      <c r="Q41" s="35"/>
      <c r="R41" s="35">
        <f>SUM(G41:Q41)</f>
        <v>20000</v>
      </c>
      <c r="S41" s="36">
        <f>SUM(S40:S40)</f>
        <v>140000</v>
      </c>
    </row>
    <row r="42" spans="1:19" s="38" customFormat="1" ht="26.4" customHeight="1" x14ac:dyDescent="0.25">
      <c r="A42" s="18"/>
      <c r="B42" s="86" t="s">
        <v>79</v>
      </c>
      <c r="C42" s="86"/>
      <c r="D42" s="86"/>
      <c r="E42" s="86"/>
      <c r="F42" s="86"/>
      <c r="G42" s="94"/>
      <c r="H42" s="86"/>
      <c r="I42" s="19"/>
      <c r="J42" s="19"/>
      <c r="K42" s="86"/>
      <c r="L42" s="19"/>
      <c r="M42" s="19"/>
      <c r="N42" s="19"/>
      <c r="O42" s="19"/>
      <c r="P42" s="19"/>
      <c r="Q42" s="86"/>
      <c r="R42" s="86"/>
      <c r="S42" s="87"/>
    </row>
    <row r="43" spans="1:19" s="38" customFormat="1" ht="16.95" customHeight="1" x14ac:dyDescent="0.25">
      <c r="A43" s="20" t="s">
        <v>80</v>
      </c>
      <c r="B43" s="21" t="s">
        <v>64</v>
      </c>
      <c r="C43" s="22">
        <v>0.5</v>
      </c>
      <c r="D43" s="22">
        <v>1</v>
      </c>
      <c r="E43" s="22">
        <v>1597.5</v>
      </c>
      <c r="F43" s="22"/>
      <c r="G43" s="22">
        <v>1597.5</v>
      </c>
      <c r="H43" s="22"/>
      <c r="I43" s="24"/>
      <c r="J43" s="24"/>
      <c r="K43" s="22"/>
      <c r="L43" s="24"/>
      <c r="M43" s="24"/>
      <c r="N43" s="24"/>
      <c r="O43" s="24"/>
      <c r="P43" s="23">
        <f>8000/2-G43</f>
        <v>2402.5</v>
      </c>
      <c r="Q43" s="22"/>
      <c r="R43" s="23">
        <f t="shared" ref="R43" si="12">G43+H43+I43+ J43+K43+L43+N43+O43+P43</f>
        <v>4000</v>
      </c>
      <c r="S43" s="25">
        <f>R43*7</f>
        <v>28000</v>
      </c>
    </row>
    <row r="44" spans="1:19" x14ac:dyDescent="0.25">
      <c r="A44" s="20" t="s">
        <v>81</v>
      </c>
      <c r="B44" s="21" t="s">
        <v>82</v>
      </c>
      <c r="C44" s="22">
        <v>2</v>
      </c>
      <c r="D44" s="22">
        <v>4</v>
      </c>
      <c r="E44" s="23">
        <f>4058*C44</f>
        <v>8116</v>
      </c>
      <c r="F44" s="22"/>
      <c r="G44" s="23">
        <f t="shared" ref="G44:G45" si="13">E44+F44</f>
        <v>8116</v>
      </c>
      <c r="H44" s="23"/>
      <c r="I44" s="23"/>
      <c r="J44" s="23">
        <f>G44*0.04</f>
        <v>324.64</v>
      </c>
      <c r="K44" s="23"/>
      <c r="L44" s="23"/>
      <c r="M44" s="23"/>
      <c r="N44" s="23"/>
      <c r="O44" s="23"/>
      <c r="P44" s="23">
        <f>8000*C44-G44</f>
        <v>7884</v>
      </c>
      <c r="Q44" s="23"/>
      <c r="R44" s="23">
        <f>SUM(G44:P44)</f>
        <v>16324.64</v>
      </c>
      <c r="S44" s="25">
        <f t="shared" ref="S44:S45" si="14">R44*7</f>
        <v>114272.48</v>
      </c>
    </row>
    <row r="45" spans="1:19" x14ac:dyDescent="0.25">
      <c r="A45" s="20" t="s">
        <v>83</v>
      </c>
      <c r="B45" s="21" t="s">
        <v>84</v>
      </c>
      <c r="C45" s="22">
        <v>2</v>
      </c>
      <c r="D45" s="22">
        <v>1</v>
      </c>
      <c r="E45" s="23">
        <f>3195*C45</f>
        <v>6390</v>
      </c>
      <c r="F45" s="22"/>
      <c r="G45" s="23">
        <f t="shared" si="13"/>
        <v>6390</v>
      </c>
      <c r="H45" s="23"/>
      <c r="I45" s="23">
        <f>G45*0.1</f>
        <v>639</v>
      </c>
      <c r="J45" s="23"/>
      <c r="K45" s="23"/>
      <c r="L45" s="23"/>
      <c r="M45" s="23"/>
      <c r="N45" s="23"/>
      <c r="O45" s="23"/>
      <c r="P45" s="23">
        <f>8000*C45-G45</f>
        <v>9610</v>
      </c>
      <c r="Q45" s="23"/>
      <c r="R45" s="23">
        <f>SUM(G45:P45)</f>
        <v>16639</v>
      </c>
      <c r="S45" s="25">
        <f t="shared" si="14"/>
        <v>116473</v>
      </c>
    </row>
    <row r="46" spans="1:19" s="37" customFormat="1" ht="18" customHeight="1" thickBot="1" x14ac:dyDescent="0.3">
      <c r="A46" s="33"/>
      <c r="B46" s="47" t="s">
        <v>59</v>
      </c>
      <c r="C46" s="34">
        <f>SUM(C43:C45)</f>
        <v>4.5</v>
      </c>
      <c r="D46" s="34"/>
      <c r="E46" s="35">
        <f>SUM(E43:E45)</f>
        <v>16103.5</v>
      </c>
      <c r="F46" s="34"/>
      <c r="G46" s="35">
        <f>SUM(G43:G45)</f>
        <v>16103.5</v>
      </c>
      <c r="H46" s="35"/>
      <c r="I46" s="35">
        <f>SUM(I45:I45)</f>
        <v>639</v>
      </c>
      <c r="J46" s="35">
        <f>SUM(J44:J45)</f>
        <v>324.64</v>
      </c>
      <c r="K46" s="35"/>
      <c r="L46" s="35"/>
      <c r="M46" s="35"/>
      <c r="N46" s="35"/>
      <c r="O46" s="35"/>
      <c r="P46" s="35">
        <f>SUM(P43:P45)</f>
        <v>19896.5</v>
      </c>
      <c r="Q46" s="35"/>
      <c r="R46" s="35">
        <f>SUM(R43:R45)</f>
        <v>36963.64</v>
      </c>
      <c r="S46" s="36">
        <f>SUM(S43:S45)</f>
        <v>258745.47999999998</v>
      </c>
    </row>
    <row r="47" spans="1:19" s="39" customFormat="1" ht="13.5" customHeight="1" x14ac:dyDescent="0.25">
      <c r="A47" s="98" t="s">
        <v>316</v>
      </c>
      <c r="B47" s="99" t="s">
        <v>85</v>
      </c>
      <c r="C47" s="100"/>
      <c r="D47" s="100"/>
      <c r="E47" s="101"/>
      <c r="F47" s="100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2"/>
    </row>
    <row r="48" spans="1:19" s="42" customFormat="1" x14ac:dyDescent="0.25">
      <c r="A48" s="43" t="s">
        <v>86</v>
      </c>
      <c r="B48" s="21" t="s">
        <v>87</v>
      </c>
      <c r="C48" s="22">
        <v>0.5</v>
      </c>
      <c r="D48" s="22">
        <v>10</v>
      </c>
      <c r="E48" s="23">
        <f>5815*C48</f>
        <v>2907.5</v>
      </c>
      <c r="F48" s="22"/>
      <c r="G48" s="23">
        <f>E48</f>
        <v>2907.5</v>
      </c>
      <c r="H48" s="23"/>
      <c r="I48" s="23"/>
      <c r="J48" s="40"/>
      <c r="K48" s="23">
        <f>G48*0.3</f>
        <v>872.25</v>
      </c>
      <c r="L48" s="41">
        <f>20000*C48-G48-K48</f>
        <v>6220.25</v>
      </c>
      <c r="M48" s="23"/>
      <c r="N48" s="23"/>
      <c r="O48" s="23"/>
      <c r="P48" s="23"/>
      <c r="Q48" s="23"/>
      <c r="R48" s="23">
        <f>G48+K48+L48</f>
        <v>10000</v>
      </c>
      <c r="S48" s="25">
        <f>R48*7</f>
        <v>70000</v>
      </c>
    </row>
    <row r="49" spans="1:20" s="42" customFormat="1" x14ac:dyDescent="0.25">
      <c r="A49" s="43" t="s">
        <v>88</v>
      </c>
      <c r="B49" s="21" t="s">
        <v>89</v>
      </c>
      <c r="C49" s="22">
        <v>3</v>
      </c>
      <c r="D49" s="22">
        <v>9</v>
      </c>
      <c r="E49" s="23">
        <f>5527*C49</f>
        <v>16581</v>
      </c>
      <c r="F49" s="22"/>
      <c r="G49" s="23">
        <f>E49</f>
        <v>16581</v>
      </c>
      <c r="H49" s="23"/>
      <c r="I49" s="23"/>
      <c r="J49" s="40"/>
      <c r="K49" s="23"/>
      <c r="L49" s="41">
        <f>15000*C49-G49-K49</f>
        <v>28419</v>
      </c>
      <c r="M49" s="23"/>
      <c r="N49" s="23"/>
      <c r="O49" s="23"/>
      <c r="P49" s="23"/>
      <c r="Q49" s="23"/>
      <c r="R49" s="23">
        <f>G49+K49+L49</f>
        <v>45000</v>
      </c>
      <c r="S49" s="25">
        <f t="shared" ref="S49:S53" si="15">R49*7</f>
        <v>315000</v>
      </c>
    </row>
    <row r="50" spans="1:20" s="42" customFormat="1" x14ac:dyDescent="0.25">
      <c r="A50" s="43" t="s">
        <v>90</v>
      </c>
      <c r="B50" s="21" t="s">
        <v>91</v>
      </c>
      <c r="C50" s="22">
        <v>1</v>
      </c>
      <c r="D50" s="22">
        <v>10</v>
      </c>
      <c r="E50" s="23">
        <v>5815</v>
      </c>
      <c r="F50" s="22"/>
      <c r="G50" s="23">
        <v>5815</v>
      </c>
      <c r="H50" s="23"/>
      <c r="I50" s="23"/>
      <c r="J50" s="40"/>
      <c r="K50" s="23">
        <f>G50*0.3</f>
        <v>1744.5</v>
      </c>
      <c r="L50" s="41">
        <f>13500-G50-K50</f>
        <v>5940.5</v>
      </c>
      <c r="M50" s="23"/>
      <c r="N50" s="23"/>
      <c r="O50" s="23"/>
      <c r="P50" s="23"/>
      <c r="Q50" s="23"/>
      <c r="R50" s="23">
        <f>G50+K50+L50</f>
        <v>13500</v>
      </c>
      <c r="S50" s="25">
        <f t="shared" si="15"/>
        <v>94500</v>
      </c>
    </row>
    <row r="51" spans="1:20" s="42" customFormat="1" x14ac:dyDescent="0.25">
      <c r="A51" s="43" t="s">
        <v>92</v>
      </c>
      <c r="B51" s="21" t="s">
        <v>93</v>
      </c>
      <c r="C51" s="22">
        <v>1</v>
      </c>
      <c r="D51" s="22">
        <v>4</v>
      </c>
      <c r="E51" s="23">
        <v>4058</v>
      </c>
      <c r="F51" s="22"/>
      <c r="G51" s="23">
        <v>4058</v>
      </c>
      <c r="H51" s="23"/>
      <c r="I51" s="23"/>
      <c r="J51" s="40"/>
      <c r="K51" s="23"/>
      <c r="L51" s="23"/>
      <c r="M51" s="23"/>
      <c r="N51" s="23"/>
      <c r="O51" s="23">
        <f>G51*200%</f>
        <v>8116</v>
      </c>
      <c r="P51" s="23"/>
      <c r="Q51" s="23"/>
      <c r="R51" s="23">
        <f>O51+G51</f>
        <v>12174</v>
      </c>
      <c r="S51" s="25">
        <f t="shared" si="15"/>
        <v>85218</v>
      </c>
    </row>
    <row r="52" spans="1:20" s="42" customFormat="1" x14ac:dyDescent="0.25">
      <c r="A52" s="43" t="s">
        <v>94</v>
      </c>
      <c r="B52" s="21" t="s">
        <v>95</v>
      </c>
      <c r="C52" s="22">
        <v>1</v>
      </c>
      <c r="D52" s="22">
        <v>5</v>
      </c>
      <c r="E52" s="23">
        <v>4345</v>
      </c>
      <c r="F52" s="23"/>
      <c r="G52" s="23">
        <f>E52+F52</f>
        <v>4345</v>
      </c>
      <c r="H52" s="23"/>
      <c r="I52" s="23"/>
      <c r="J52" s="23"/>
      <c r="K52" s="23"/>
      <c r="L52" s="23"/>
      <c r="M52" s="23"/>
      <c r="N52" s="23"/>
      <c r="O52" s="23"/>
      <c r="P52" s="23">
        <f>8000-G52</f>
        <v>3655</v>
      </c>
      <c r="Q52" s="32"/>
      <c r="R52" s="23">
        <f>G52+P52</f>
        <v>8000</v>
      </c>
      <c r="S52" s="25">
        <f t="shared" si="15"/>
        <v>56000</v>
      </c>
    </row>
    <row r="53" spans="1:20" x14ac:dyDescent="0.25">
      <c r="A53" s="43" t="s">
        <v>96</v>
      </c>
      <c r="B53" s="21" t="s">
        <v>97</v>
      </c>
      <c r="C53" s="22">
        <v>0.5</v>
      </c>
      <c r="D53" s="22">
        <v>9</v>
      </c>
      <c r="E53" s="23">
        <v>2763.5</v>
      </c>
      <c r="F53" s="22"/>
      <c r="G53" s="23">
        <f t="shared" ref="G53" si="16">E53+F53</f>
        <v>2763.5</v>
      </c>
      <c r="H53" s="23"/>
      <c r="I53" s="23"/>
      <c r="J53" s="23"/>
      <c r="K53" s="23">
        <f>G53*0.3</f>
        <v>829.05</v>
      </c>
      <c r="L53" s="23">
        <f>6750-G53-K53</f>
        <v>3157.45</v>
      </c>
      <c r="M53" s="23"/>
      <c r="N53" s="23"/>
      <c r="O53" s="23"/>
      <c r="P53" s="23"/>
      <c r="Q53" s="23"/>
      <c r="R53" s="23">
        <f>L53+K53+G53</f>
        <v>6750</v>
      </c>
      <c r="S53" s="25">
        <f t="shared" si="15"/>
        <v>47250</v>
      </c>
    </row>
    <row r="54" spans="1:20" s="45" customFormat="1" ht="13.8" customHeight="1" thickBot="1" x14ac:dyDescent="0.25">
      <c r="A54" s="103"/>
      <c r="B54" s="104" t="s">
        <v>59</v>
      </c>
      <c r="C54" s="105">
        <f>SUM(C48:C53)</f>
        <v>7</v>
      </c>
      <c r="D54" s="105"/>
      <c r="E54" s="106">
        <f>SUM(E48:E53)</f>
        <v>36470</v>
      </c>
      <c r="F54" s="105"/>
      <c r="G54" s="106">
        <f>SUM(G48:G53)</f>
        <v>36470</v>
      </c>
      <c r="H54" s="106"/>
      <c r="I54" s="106"/>
      <c r="J54" s="106"/>
      <c r="K54" s="106">
        <f>SUM(K48:K53)</f>
        <v>3445.8</v>
      </c>
      <c r="L54" s="106">
        <f>SUM(L48:L53)</f>
        <v>43737.2</v>
      </c>
      <c r="M54" s="106"/>
      <c r="N54" s="106"/>
      <c r="O54" s="106">
        <f>SUM(O48:O52)</f>
        <v>8116</v>
      </c>
      <c r="P54" s="106">
        <f>SUM(P48:P53)</f>
        <v>3655</v>
      </c>
      <c r="Q54" s="106"/>
      <c r="R54" s="106">
        <f>SUM(R48:R53)</f>
        <v>95424</v>
      </c>
      <c r="S54" s="107">
        <f>SUM(S48:S53)</f>
        <v>667968</v>
      </c>
    </row>
    <row r="55" spans="1:20" s="38" customFormat="1" ht="22.8" customHeight="1" x14ac:dyDescent="0.25">
      <c r="A55" s="108"/>
      <c r="B55" s="86" t="s">
        <v>98</v>
      </c>
      <c r="C55" s="85"/>
      <c r="D55" s="85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109"/>
      <c r="R55" s="94"/>
      <c r="S55" s="110"/>
      <c r="T55" s="46"/>
    </row>
    <row r="56" spans="1:20" s="38" customFormat="1" x14ac:dyDescent="0.25">
      <c r="A56" s="43" t="s">
        <v>99</v>
      </c>
      <c r="B56" s="21" t="s">
        <v>100</v>
      </c>
      <c r="C56" s="22">
        <v>0.25</v>
      </c>
      <c r="D56" s="22">
        <v>14</v>
      </c>
      <c r="E56" s="23">
        <f>7732*C56</f>
        <v>1933</v>
      </c>
      <c r="F56" s="23">
        <f>E56*10%</f>
        <v>193.3</v>
      </c>
      <c r="G56" s="23">
        <f>E56+F56</f>
        <v>2126.3000000000002</v>
      </c>
      <c r="H56" s="23"/>
      <c r="I56" s="23"/>
      <c r="J56" s="23"/>
      <c r="K56" s="23">
        <f>G56*0.3</f>
        <v>637.89</v>
      </c>
      <c r="L56" s="23">
        <f>20000*C56-G56-K56</f>
        <v>2235.81</v>
      </c>
      <c r="M56" s="23"/>
      <c r="N56" s="23"/>
      <c r="O56" s="23"/>
      <c r="P56" s="23"/>
      <c r="Q56" s="32"/>
      <c r="R56" s="23">
        <f>G56+K56+L56</f>
        <v>5000</v>
      </c>
      <c r="S56" s="25">
        <f>R56*7</f>
        <v>35000</v>
      </c>
      <c r="T56" s="46"/>
    </row>
    <row r="57" spans="1:20" s="38" customFormat="1" x14ac:dyDescent="0.25">
      <c r="A57" s="43" t="s">
        <v>101</v>
      </c>
      <c r="B57" s="21" t="s">
        <v>102</v>
      </c>
      <c r="C57" s="22">
        <v>0.5</v>
      </c>
      <c r="D57" s="22">
        <v>13</v>
      </c>
      <c r="E57" s="23">
        <v>3626</v>
      </c>
      <c r="F57" s="23">
        <f>E57*0.15</f>
        <v>543.9</v>
      </c>
      <c r="G57" s="23">
        <f>E57+F57</f>
        <v>4169.8999999999996</v>
      </c>
      <c r="H57" s="23"/>
      <c r="I57" s="23"/>
      <c r="J57" s="23"/>
      <c r="K57" s="23">
        <f>G57*0.3</f>
        <v>1250.9699999999998</v>
      </c>
      <c r="L57" s="23">
        <f>20000*C57-G57-K57</f>
        <v>4579.130000000001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ref="S57:S59" si="17">R57*7</f>
        <v>70000</v>
      </c>
      <c r="T57" s="46"/>
    </row>
    <row r="58" spans="1:20" s="38" customFormat="1" x14ac:dyDescent="0.25">
      <c r="A58" s="43" t="s">
        <v>103</v>
      </c>
      <c r="B58" s="21" t="s">
        <v>104</v>
      </c>
      <c r="C58" s="22">
        <v>0.5</v>
      </c>
      <c r="D58" s="22">
        <v>13</v>
      </c>
      <c r="E58" s="23">
        <v>3626</v>
      </c>
      <c r="F58" s="23">
        <f>E58*0.15</f>
        <v>543.9</v>
      </c>
      <c r="G58" s="23">
        <f>E58+F58</f>
        <v>4169.8999999999996</v>
      </c>
      <c r="H58" s="23"/>
      <c r="I58" s="23"/>
      <c r="J58" s="23"/>
      <c r="K58" s="23">
        <f>G58*0.3</f>
        <v>1250.9699999999998</v>
      </c>
      <c r="L58" s="23">
        <f>10000-G58-K58</f>
        <v>4579.130000000001</v>
      </c>
      <c r="M58" s="23"/>
      <c r="N58" s="23"/>
      <c r="O58" s="23"/>
      <c r="P58" s="23"/>
      <c r="Q58" s="32"/>
      <c r="R58" s="23">
        <f>G58+K58+L58</f>
        <v>10000</v>
      </c>
      <c r="S58" s="25">
        <f t="shared" si="17"/>
        <v>70000</v>
      </c>
      <c r="T58" s="46"/>
    </row>
    <row r="59" spans="1:20" s="38" customFormat="1" x14ac:dyDescent="0.25">
      <c r="A59" s="43" t="s">
        <v>105</v>
      </c>
      <c r="B59" s="21" t="s">
        <v>106</v>
      </c>
      <c r="C59" s="22">
        <v>1</v>
      </c>
      <c r="D59" s="22">
        <v>5</v>
      </c>
      <c r="E59" s="23">
        <v>4345</v>
      </c>
      <c r="F59" s="23"/>
      <c r="G59" s="23">
        <f>E59+F59</f>
        <v>4345</v>
      </c>
      <c r="H59" s="23"/>
      <c r="I59" s="23"/>
      <c r="J59" s="23"/>
      <c r="K59" s="23"/>
      <c r="L59" s="23"/>
      <c r="M59" s="23"/>
      <c r="N59" s="23"/>
      <c r="O59" s="23"/>
      <c r="P59" s="23">
        <f>8000-G59</f>
        <v>3655</v>
      </c>
      <c r="Q59" s="32"/>
      <c r="R59" s="23">
        <f>G59+P59</f>
        <v>8000</v>
      </c>
      <c r="S59" s="25">
        <f t="shared" si="17"/>
        <v>56000</v>
      </c>
      <c r="T59" s="46"/>
    </row>
    <row r="60" spans="1:20" s="49" customFormat="1" ht="20.399999999999999" customHeight="1" thickBot="1" x14ac:dyDescent="0.3">
      <c r="A60" s="64"/>
      <c r="B60" s="47" t="s">
        <v>59</v>
      </c>
      <c r="C60" s="34">
        <v>2.25</v>
      </c>
      <c r="D60" s="34"/>
      <c r="E60" s="35">
        <f>SUM(E56:E59)</f>
        <v>13530</v>
      </c>
      <c r="F60" s="35">
        <f t="shared" ref="F60" si="18">SUM(F56:F59)</f>
        <v>1281.0999999999999</v>
      </c>
      <c r="G60" s="35">
        <f>SUM(G56:G59)</f>
        <v>14811.099999999999</v>
      </c>
      <c r="H60" s="35"/>
      <c r="I60" s="35"/>
      <c r="J60" s="35"/>
      <c r="K60" s="35">
        <f t="shared" ref="K60:L60" si="19">SUM(K56:K59)</f>
        <v>3139.8299999999995</v>
      </c>
      <c r="L60" s="35">
        <f t="shared" si="19"/>
        <v>11394.070000000002</v>
      </c>
      <c r="M60" s="35"/>
      <c r="N60" s="35"/>
      <c r="O60" s="35"/>
      <c r="P60" s="35">
        <f t="shared" ref="P60:Q60" si="20">SUM(P56:P59)</f>
        <v>3655</v>
      </c>
      <c r="Q60" s="35">
        <f t="shared" si="20"/>
        <v>0</v>
      </c>
      <c r="R60" s="35">
        <f>SUM(G60:Q60)</f>
        <v>33000</v>
      </c>
      <c r="S60" s="36">
        <f>SUM(S56:S59)</f>
        <v>231000</v>
      </c>
      <c r="T60" s="48"/>
    </row>
    <row r="61" spans="1:20" ht="24" customHeight="1" x14ac:dyDescent="0.25">
      <c r="A61" s="18"/>
      <c r="B61" s="86" t="s">
        <v>107</v>
      </c>
      <c r="C61" s="86"/>
      <c r="D61" s="86"/>
      <c r="E61" s="92"/>
      <c r="F61" s="86"/>
      <c r="G61" s="94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3"/>
    </row>
    <row r="62" spans="1:20" s="13" customFormat="1" ht="38.4" customHeight="1" x14ac:dyDescent="0.2">
      <c r="A62" s="28"/>
      <c r="B62" s="29" t="s">
        <v>108</v>
      </c>
      <c r="C62" s="22"/>
      <c r="D62" s="22"/>
      <c r="E62" s="23"/>
      <c r="F62" s="22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5"/>
    </row>
    <row r="63" spans="1:20" ht="13.95" customHeight="1" x14ac:dyDescent="0.25">
      <c r="A63" s="20" t="s">
        <v>109</v>
      </c>
      <c r="B63" s="21" t="s">
        <v>110</v>
      </c>
      <c r="C63" s="22">
        <v>1</v>
      </c>
      <c r="D63" s="22">
        <v>11</v>
      </c>
      <c r="E63" s="23">
        <v>6294</v>
      </c>
      <c r="F63" s="22">
        <f>E63*0.25</f>
        <v>1573.5</v>
      </c>
      <c r="G63" s="23">
        <f t="shared" ref="G63:G126" si="21">E63+F63</f>
        <v>7867.5</v>
      </c>
      <c r="H63" s="23"/>
      <c r="I63" s="23"/>
      <c r="J63" s="23"/>
      <c r="K63" s="23">
        <f>G63*0.3</f>
        <v>2360.25</v>
      </c>
      <c r="L63" s="41">
        <f>20000-G63-K63</f>
        <v>9772.25</v>
      </c>
      <c r="M63" s="23"/>
      <c r="N63" s="23"/>
      <c r="O63" s="23"/>
      <c r="P63" s="23"/>
      <c r="Q63" s="23"/>
      <c r="R63" s="23">
        <f t="shared" ref="R63:R75" si="22">G63+K63+L63</f>
        <v>20000</v>
      </c>
      <c r="S63" s="25">
        <f>R63*7</f>
        <v>140000</v>
      </c>
    </row>
    <row r="64" spans="1:20" x14ac:dyDescent="0.25">
      <c r="A64" s="20" t="s">
        <v>111</v>
      </c>
      <c r="B64" s="21" t="s">
        <v>112</v>
      </c>
      <c r="C64" s="22">
        <v>1.25</v>
      </c>
      <c r="D64" s="22">
        <v>12</v>
      </c>
      <c r="E64" s="23">
        <f>6773*C64</f>
        <v>8466.25</v>
      </c>
      <c r="F64" s="22"/>
      <c r="G64" s="23">
        <f t="shared" si="21"/>
        <v>8466.25</v>
      </c>
      <c r="H64" s="23"/>
      <c r="I64" s="23"/>
      <c r="J64" s="23"/>
      <c r="K64" s="23">
        <f t="shared" ref="K64:K77" si="23">G64*0.3</f>
        <v>2539.875</v>
      </c>
      <c r="L64" s="23">
        <f>20000*C64-G64-K64</f>
        <v>13993.875</v>
      </c>
      <c r="M64" s="23"/>
      <c r="N64" s="23"/>
      <c r="O64" s="23"/>
      <c r="P64" s="23"/>
      <c r="Q64" s="23"/>
      <c r="R64" s="23">
        <f t="shared" si="22"/>
        <v>25000</v>
      </c>
      <c r="S64" s="25">
        <f t="shared" ref="S64:S80" si="24">R64*7</f>
        <v>175000</v>
      </c>
    </row>
    <row r="65" spans="1:20" x14ac:dyDescent="0.25">
      <c r="A65" s="20" t="s">
        <v>113</v>
      </c>
      <c r="B65" s="21" t="s">
        <v>114</v>
      </c>
      <c r="C65" s="22">
        <v>1</v>
      </c>
      <c r="D65" s="22">
        <v>14</v>
      </c>
      <c r="E65" s="23">
        <v>7732</v>
      </c>
      <c r="F65" s="22"/>
      <c r="G65" s="23">
        <f t="shared" si="21"/>
        <v>7732</v>
      </c>
      <c r="H65" s="23"/>
      <c r="I65" s="23"/>
      <c r="J65" s="23"/>
      <c r="K65" s="23">
        <f t="shared" si="23"/>
        <v>2319.6</v>
      </c>
      <c r="L65" s="41">
        <f>20000-G65-K65</f>
        <v>9948.4</v>
      </c>
      <c r="M65" s="23"/>
      <c r="N65" s="23"/>
      <c r="O65" s="23"/>
      <c r="P65" s="23"/>
      <c r="Q65" s="23"/>
      <c r="R65" s="23">
        <f t="shared" si="22"/>
        <v>20000</v>
      </c>
      <c r="S65" s="25">
        <f t="shared" si="24"/>
        <v>140000</v>
      </c>
    </row>
    <row r="66" spans="1:20" x14ac:dyDescent="0.25">
      <c r="A66" s="20" t="s">
        <v>115</v>
      </c>
      <c r="B66" s="21" t="s">
        <v>116</v>
      </c>
      <c r="C66" s="22">
        <v>0.5</v>
      </c>
      <c r="D66" s="22">
        <v>14</v>
      </c>
      <c r="E66" s="23">
        <v>3868</v>
      </c>
      <c r="F66" s="22"/>
      <c r="G66" s="23">
        <f t="shared" si="21"/>
        <v>3868</v>
      </c>
      <c r="H66" s="23"/>
      <c r="I66" s="23"/>
      <c r="J66" s="23"/>
      <c r="K66" s="23">
        <f t="shared" si="23"/>
        <v>1160.3999999999999</v>
      </c>
      <c r="L66" s="41">
        <f>20000/2-G66-K66</f>
        <v>4971.6000000000004</v>
      </c>
      <c r="M66" s="23"/>
      <c r="N66" s="23"/>
      <c r="O66" s="23"/>
      <c r="P66" s="23"/>
      <c r="Q66" s="23"/>
      <c r="R66" s="23">
        <f t="shared" si="22"/>
        <v>10000</v>
      </c>
      <c r="S66" s="25">
        <f t="shared" si="24"/>
        <v>70000</v>
      </c>
    </row>
    <row r="67" spans="1:20" x14ac:dyDescent="0.25">
      <c r="A67" s="20" t="s">
        <v>117</v>
      </c>
      <c r="B67" s="21" t="s">
        <v>118</v>
      </c>
      <c r="C67" s="22">
        <v>0.25</v>
      </c>
      <c r="D67" s="22">
        <v>14</v>
      </c>
      <c r="E67" s="23">
        <f>7732*C67</f>
        <v>1933</v>
      </c>
      <c r="F67" s="22"/>
      <c r="G67" s="23">
        <f t="shared" si="21"/>
        <v>1933</v>
      </c>
      <c r="H67" s="23"/>
      <c r="I67" s="23"/>
      <c r="J67" s="23"/>
      <c r="K67" s="23">
        <f t="shared" si="23"/>
        <v>579.9</v>
      </c>
      <c r="L67" s="41">
        <f>20000*C67-G67-K67</f>
        <v>2487.1</v>
      </c>
      <c r="M67" s="23"/>
      <c r="N67" s="23"/>
      <c r="O67" s="23"/>
      <c r="P67" s="23"/>
      <c r="Q67" s="23"/>
      <c r="R67" s="23">
        <f t="shared" si="22"/>
        <v>5000</v>
      </c>
      <c r="S67" s="25">
        <f t="shared" si="24"/>
        <v>35000</v>
      </c>
    </row>
    <row r="68" spans="1:20" x14ac:dyDescent="0.25">
      <c r="A68" s="20" t="s">
        <v>119</v>
      </c>
      <c r="B68" s="21" t="s">
        <v>120</v>
      </c>
      <c r="C68" s="22">
        <v>2.5</v>
      </c>
      <c r="D68" s="22">
        <v>13</v>
      </c>
      <c r="E68" s="23">
        <f>7253*C68</f>
        <v>18132.5</v>
      </c>
      <c r="F68" s="22"/>
      <c r="G68" s="23">
        <f t="shared" si="21"/>
        <v>18132.5</v>
      </c>
      <c r="H68" s="23"/>
      <c r="I68" s="23"/>
      <c r="J68" s="23"/>
      <c r="K68" s="23">
        <f t="shared" si="23"/>
        <v>5439.75</v>
      </c>
      <c r="L68" s="41">
        <f t="shared" ref="L68:L73" si="25">20000*C68-G68-K68-N68</f>
        <v>24229.85</v>
      </c>
      <c r="M68" s="23"/>
      <c r="N68" s="23">
        <f>879.16*C68</f>
        <v>2197.9</v>
      </c>
      <c r="O68" s="23"/>
      <c r="P68" s="23"/>
      <c r="Q68" s="23"/>
      <c r="R68" s="23">
        <f t="shared" ref="R68:R73" si="26">G68+K68+L68+N68</f>
        <v>50000</v>
      </c>
      <c r="S68" s="25">
        <f t="shared" si="24"/>
        <v>350000</v>
      </c>
    </row>
    <row r="69" spans="1:20" x14ac:dyDescent="0.25">
      <c r="A69" s="20" t="s">
        <v>119</v>
      </c>
      <c r="B69" s="21" t="s">
        <v>121</v>
      </c>
      <c r="C69" s="22">
        <v>0.5</v>
      </c>
      <c r="D69" s="22">
        <v>14</v>
      </c>
      <c r="E69" s="23">
        <f>7732*C69</f>
        <v>3866</v>
      </c>
      <c r="F69" s="22"/>
      <c r="G69" s="23">
        <f t="shared" si="21"/>
        <v>3866</v>
      </c>
      <c r="H69" s="23"/>
      <c r="I69" s="23"/>
      <c r="J69" s="23"/>
      <c r="K69" s="23">
        <f t="shared" si="23"/>
        <v>1159.8</v>
      </c>
      <c r="L69" s="41">
        <f t="shared" si="25"/>
        <v>4505.5999999999995</v>
      </c>
      <c r="M69" s="23"/>
      <c r="N69" s="23">
        <v>468.6</v>
      </c>
      <c r="O69" s="23"/>
      <c r="P69" s="23"/>
      <c r="Q69" s="23"/>
      <c r="R69" s="23">
        <f t="shared" si="26"/>
        <v>10000</v>
      </c>
      <c r="S69" s="25">
        <f t="shared" si="24"/>
        <v>70000</v>
      </c>
    </row>
    <row r="70" spans="1:20" x14ac:dyDescent="0.25">
      <c r="A70" s="20" t="s">
        <v>119</v>
      </c>
      <c r="B70" s="21" t="s">
        <v>122</v>
      </c>
      <c r="C70" s="22">
        <v>0.25</v>
      </c>
      <c r="D70" s="22">
        <v>14</v>
      </c>
      <c r="E70" s="23">
        <f>7732*C70</f>
        <v>1933</v>
      </c>
      <c r="F70" s="22"/>
      <c r="G70" s="23">
        <f t="shared" si="21"/>
        <v>1933</v>
      </c>
      <c r="H70" s="23"/>
      <c r="I70" s="23"/>
      <c r="J70" s="23"/>
      <c r="K70" s="23">
        <f t="shared" si="23"/>
        <v>579.9</v>
      </c>
      <c r="L70" s="41">
        <f t="shared" si="25"/>
        <v>2252.7999999999997</v>
      </c>
      <c r="M70" s="23"/>
      <c r="N70" s="23">
        <v>234.3</v>
      </c>
      <c r="O70" s="23"/>
      <c r="P70" s="23"/>
      <c r="Q70" s="23"/>
      <c r="R70" s="23">
        <f t="shared" si="26"/>
        <v>5000</v>
      </c>
      <c r="S70" s="25">
        <f t="shared" si="24"/>
        <v>35000</v>
      </c>
    </row>
    <row r="71" spans="1:20" x14ac:dyDescent="0.25">
      <c r="A71" s="20" t="s">
        <v>119</v>
      </c>
      <c r="B71" s="21" t="s">
        <v>123</v>
      </c>
      <c r="C71" s="22">
        <v>0.5</v>
      </c>
      <c r="D71" s="22">
        <v>14</v>
      </c>
      <c r="E71" s="23">
        <f>7732*C71</f>
        <v>3866</v>
      </c>
      <c r="F71" s="22"/>
      <c r="G71" s="23">
        <f t="shared" si="21"/>
        <v>3866</v>
      </c>
      <c r="H71" s="23"/>
      <c r="I71" s="23"/>
      <c r="J71" s="23"/>
      <c r="K71" s="23">
        <f t="shared" si="23"/>
        <v>1159.8</v>
      </c>
      <c r="L71" s="41">
        <f t="shared" si="25"/>
        <v>4739.8999999999996</v>
      </c>
      <c r="M71" s="23"/>
      <c r="N71" s="23">
        <v>234.3</v>
      </c>
      <c r="O71" s="23"/>
      <c r="P71" s="23"/>
      <c r="Q71" s="23"/>
      <c r="R71" s="23">
        <f t="shared" si="26"/>
        <v>10000</v>
      </c>
      <c r="S71" s="25">
        <f t="shared" si="24"/>
        <v>70000</v>
      </c>
    </row>
    <row r="72" spans="1:20" x14ac:dyDescent="0.25">
      <c r="A72" s="20" t="s">
        <v>119</v>
      </c>
      <c r="B72" s="21" t="s">
        <v>124</v>
      </c>
      <c r="C72" s="22">
        <v>1</v>
      </c>
      <c r="D72" s="22">
        <v>14</v>
      </c>
      <c r="E72" s="23">
        <f>7732*C72</f>
        <v>7732</v>
      </c>
      <c r="F72" s="22"/>
      <c r="G72" s="23">
        <f t="shared" si="21"/>
        <v>7732</v>
      </c>
      <c r="H72" s="23"/>
      <c r="I72" s="23"/>
      <c r="J72" s="23"/>
      <c r="K72" s="23">
        <f t="shared" si="23"/>
        <v>2319.6</v>
      </c>
      <c r="L72" s="41">
        <f t="shared" si="25"/>
        <v>9011.1999999999989</v>
      </c>
      <c r="M72" s="23"/>
      <c r="N72" s="23">
        <v>937.2</v>
      </c>
      <c r="O72" s="23"/>
      <c r="P72" s="23"/>
      <c r="Q72" s="23"/>
      <c r="R72" s="23">
        <f t="shared" si="26"/>
        <v>20000</v>
      </c>
      <c r="S72" s="25">
        <f t="shared" si="24"/>
        <v>140000</v>
      </c>
    </row>
    <row r="73" spans="1:20" x14ac:dyDescent="0.25">
      <c r="A73" s="20" t="s">
        <v>119</v>
      </c>
      <c r="B73" s="21" t="s">
        <v>125</v>
      </c>
      <c r="C73" s="22">
        <v>0.5</v>
      </c>
      <c r="D73" s="22">
        <v>13</v>
      </c>
      <c r="E73" s="23">
        <f>7253*C73</f>
        <v>3626.5</v>
      </c>
      <c r="F73" s="22"/>
      <c r="G73" s="23">
        <f t="shared" si="21"/>
        <v>3626.5</v>
      </c>
      <c r="H73" s="23"/>
      <c r="I73" s="23"/>
      <c r="J73" s="23"/>
      <c r="K73" s="23">
        <f t="shared" si="23"/>
        <v>1087.95</v>
      </c>
      <c r="L73" s="41">
        <f t="shared" si="25"/>
        <v>4845.97</v>
      </c>
      <c r="M73" s="23"/>
      <c r="N73" s="23">
        <f>879.16*C73</f>
        <v>439.58</v>
      </c>
      <c r="O73" s="23"/>
      <c r="P73" s="23"/>
      <c r="Q73" s="23"/>
      <c r="R73" s="23">
        <f t="shared" si="26"/>
        <v>10000</v>
      </c>
      <c r="S73" s="25">
        <f t="shared" si="24"/>
        <v>70000</v>
      </c>
    </row>
    <row r="74" spans="1:20" s="13" customFormat="1" x14ac:dyDescent="0.25">
      <c r="A74" s="20" t="s">
        <v>119</v>
      </c>
      <c r="B74" s="21" t="s">
        <v>126</v>
      </c>
      <c r="C74" s="22">
        <v>0.25</v>
      </c>
      <c r="D74" s="22">
        <v>14</v>
      </c>
      <c r="E74" s="23">
        <f>7732*C74</f>
        <v>1933</v>
      </c>
      <c r="F74" s="22"/>
      <c r="G74" s="23">
        <f>E74+F74</f>
        <v>1933</v>
      </c>
      <c r="H74" s="23"/>
      <c r="I74" s="23"/>
      <c r="J74" s="23"/>
      <c r="K74" s="23">
        <f t="shared" si="23"/>
        <v>579.9</v>
      </c>
      <c r="L74" s="23">
        <f>20000*C74-G74-K74</f>
        <v>2487.1</v>
      </c>
      <c r="M74" s="23"/>
      <c r="N74" s="23">
        <v>234.3</v>
      </c>
      <c r="O74" s="23"/>
      <c r="P74" s="23"/>
      <c r="Q74" s="23"/>
      <c r="R74" s="23">
        <f>G74+K74+L74</f>
        <v>5000</v>
      </c>
      <c r="S74" s="25">
        <f t="shared" si="24"/>
        <v>35000</v>
      </c>
      <c r="T74" s="52"/>
    </row>
    <row r="75" spans="1:20" x14ac:dyDescent="0.25">
      <c r="A75" s="20" t="s">
        <v>127</v>
      </c>
      <c r="B75" s="21" t="s">
        <v>128</v>
      </c>
      <c r="C75" s="22">
        <v>1</v>
      </c>
      <c r="D75" s="22">
        <v>9</v>
      </c>
      <c r="E75" s="23">
        <v>5527</v>
      </c>
      <c r="F75" s="22">
        <f>E75*0.1</f>
        <v>552.70000000000005</v>
      </c>
      <c r="G75" s="23">
        <f t="shared" si="21"/>
        <v>6079.7</v>
      </c>
      <c r="H75" s="23"/>
      <c r="I75" s="23"/>
      <c r="J75" s="23"/>
      <c r="K75" s="23">
        <f t="shared" si="23"/>
        <v>1823.9099999999999</v>
      </c>
      <c r="L75" s="41">
        <v>5596.39</v>
      </c>
      <c r="M75" s="23"/>
      <c r="N75" s="23"/>
      <c r="O75" s="23"/>
      <c r="P75" s="23"/>
      <c r="Q75" s="23"/>
      <c r="R75" s="23">
        <f t="shared" si="22"/>
        <v>13500</v>
      </c>
      <c r="S75" s="25">
        <f t="shared" si="24"/>
        <v>94500</v>
      </c>
    </row>
    <row r="76" spans="1:20" x14ac:dyDescent="0.25">
      <c r="A76" s="20" t="s">
        <v>129</v>
      </c>
      <c r="B76" s="21" t="s">
        <v>130</v>
      </c>
      <c r="C76" s="22">
        <v>10</v>
      </c>
      <c r="D76" s="22">
        <v>9</v>
      </c>
      <c r="E76" s="23">
        <f>5527*C76</f>
        <v>55270</v>
      </c>
      <c r="F76" s="22"/>
      <c r="G76" s="23">
        <f t="shared" si="21"/>
        <v>55270</v>
      </c>
      <c r="H76" s="23"/>
      <c r="I76" s="23">
        <f t="shared" ref="I76:I78" si="27">G76*0.1</f>
        <v>5527</v>
      </c>
      <c r="J76" s="23"/>
      <c r="K76" s="23">
        <f t="shared" si="23"/>
        <v>16581</v>
      </c>
      <c r="L76" s="41">
        <f>13500*C76-G76-I76-K76-N76</f>
        <v>50922.6</v>
      </c>
      <c r="M76" s="23"/>
      <c r="N76" s="23">
        <f>669.94*C76</f>
        <v>6699.4000000000005</v>
      </c>
      <c r="O76" s="23"/>
      <c r="P76" s="23"/>
      <c r="Q76" s="23"/>
      <c r="R76" s="23">
        <f>G76+I76+K76+L76+N76</f>
        <v>135000</v>
      </c>
      <c r="S76" s="25">
        <f t="shared" si="24"/>
        <v>945000</v>
      </c>
    </row>
    <row r="77" spans="1:20" x14ac:dyDescent="0.25">
      <c r="A77" s="20" t="s">
        <v>131</v>
      </c>
      <c r="B77" s="21" t="s">
        <v>132</v>
      </c>
      <c r="C77" s="22">
        <v>1</v>
      </c>
      <c r="D77" s="22">
        <v>6</v>
      </c>
      <c r="E77" s="23">
        <v>4633</v>
      </c>
      <c r="F77" s="22"/>
      <c r="G77" s="23">
        <f t="shared" si="21"/>
        <v>4633</v>
      </c>
      <c r="H77" s="23"/>
      <c r="I77" s="23">
        <f t="shared" si="27"/>
        <v>463.3</v>
      </c>
      <c r="J77" s="23"/>
      <c r="K77" s="23">
        <f t="shared" si="23"/>
        <v>1389.8999999999999</v>
      </c>
      <c r="L77" s="41">
        <f t="shared" ref="L77" si="28">13500-G77-I77-K77</f>
        <v>7013.8000000000011</v>
      </c>
      <c r="M77" s="23"/>
      <c r="N77" s="23"/>
      <c r="O77" s="23"/>
      <c r="P77" s="23"/>
      <c r="Q77" s="23"/>
      <c r="R77" s="23">
        <f t="shared" ref="R77" si="29">G77+I77+K77+L77</f>
        <v>13500</v>
      </c>
      <c r="S77" s="25">
        <f t="shared" si="24"/>
        <v>94500</v>
      </c>
    </row>
    <row r="78" spans="1:20" x14ac:dyDescent="0.25">
      <c r="A78" s="20" t="s">
        <v>133</v>
      </c>
      <c r="B78" s="21" t="s">
        <v>134</v>
      </c>
      <c r="C78" s="22">
        <v>6</v>
      </c>
      <c r="D78" s="22">
        <v>4</v>
      </c>
      <c r="E78" s="23">
        <f>4058*C78</f>
        <v>24348</v>
      </c>
      <c r="F78" s="22"/>
      <c r="G78" s="23">
        <f t="shared" si="21"/>
        <v>24348</v>
      </c>
      <c r="H78" s="23"/>
      <c r="I78" s="23">
        <f t="shared" si="27"/>
        <v>2434.8000000000002</v>
      </c>
      <c r="J78" s="23"/>
      <c r="K78" s="23"/>
      <c r="L78" s="23"/>
      <c r="M78" s="23"/>
      <c r="N78" s="23">
        <f>475.33*C78</f>
        <v>2851.98</v>
      </c>
      <c r="O78" s="23"/>
      <c r="P78" s="23">
        <f>8000*C78-G78</f>
        <v>23652</v>
      </c>
      <c r="Q78" s="23"/>
      <c r="R78" s="23">
        <f>E78+I78+P78+N78</f>
        <v>53286.780000000006</v>
      </c>
      <c r="S78" s="25">
        <f t="shared" si="24"/>
        <v>373007.46</v>
      </c>
    </row>
    <row r="79" spans="1:20" x14ac:dyDescent="0.25">
      <c r="A79" s="20" t="s">
        <v>135</v>
      </c>
      <c r="B79" s="21" t="s">
        <v>136</v>
      </c>
      <c r="C79" s="22">
        <v>1</v>
      </c>
      <c r="D79" s="22">
        <v>3</v>
      </c>
      <c r="E79" s="23">
        <v>3770</v>
      </c>
      <c r="F79" s="22"/>
      <c r="G79" s="23">
        <f t="shared" si="21"/>
        <v>3770</v>
      </c>
      <c r="H79" s="23"/>
      <c r="I79" s="23"/>
      <c r="J79" s="23"/>
      <c r="K79" s="23"/>
      <c r="L79" s="23"/>
      <c r="M79" s="23"/>
      <c r="N79" s="23"/>
      <c r="O79" s="23"/>
      <c r="P79" s="23">
        <f t="shared" ref="P79:P80" si="30">8000-G79</f>
        <v>4230</v>
      </c>
      <c r="Q79" s="23"/>
      <c r="R79" s="23">
        <f>G79+P79</f>
        <v>8000</v>
      </c>
      <c r="S79" s="25">
        <f t="shared" si="24"/>
        <v>56000</v>
      </c>
      <c r="T79" s="53"/>
    </row>
    <row r="80" spans="1:20" x14ac:dyDescent="0.25">
      <c r="A80" s="20" t="s">
        <v>137</v>
      </c>
      <c r="B80" s="21" t="s">
        <v>138</v>
      </c>
      <c r="C80" s="22">
        <v>1</v>
      </c>
      <c r="D80" s="22">
        <v>4</v>
      </c>
      <c r="E80" s="23">
        <v>4058</v>
      </c>
      <c r="F80" s="22"/>
      <c r="G80" s="23">
        <f t="shared" si="21"/>
        <v>4058</v>
      </c>
      <c r="H80" s="23"/>
      <c r="I80" s="23"/>
      <c r="J80" s="23"/>
      <c r="K80" s="23"/>
      <c r="L80" s="23"/>
      <c r="M80" s="23"/>
      <c r="N80" s="23"/>
      <c r="O80" s="23"/>
      <c r="P80" s="23">
        <f t="shared" si="30"/>
        <v>3942</v>
      </c>
      <c r="Q80" s="23"/>
      <c r="R80" s="23">
        <f>G80+P80</f>
        <v>8000</v>
      </c>
      <c r="S80" s="25">
        <f t="shared" si="24"/>
        <v>56000</v>
      </c>
      <c r="T80" s="53"/>
    </row>
    <row r="81" spans="1:20" s="27" customFormat="1" ht="24.6" customHeight="1" thickBot="1" x14ac:dyDescent="0.3">
      <c r="A81" s="64"/>
      <c r="B81" s="47" t="s">
        <v>59</v>
      </c>
      <c r="C81" s="34">
        <f>SUM(C63:C80)</f>
        <v>29.5</v>
      </c>
      <c r="D81" s="34"/>
      <c r="E81" s="35">
        <f>SUM(E63:E80)</f>
        <v>166988.25</v>
      </c>
      <c r="F81" s="34">
        <f>SUM(F63:F80)</f>
        <v>2126.1999999999998</v>
      </c>
      <c r="G81" s="35">
        <f>SUM(G63:G80)</f>
        <v>169114.45</v>
      </c>
      <c r="H81" s="35"/>
      <c r="I81" s="35">
        <f>SUM(I63:I80)</f>
        <v>8425.1</v>
      </c>
      <c r="J81" s="35"/>
      <c r="K81" s="35">
        <f>SUM(K63:K80)</f>
        <v>41081.534999999996</v>
      </c>
      <c r="L81" s="35">
        <f>SUM(L63:L80)</f>
        <v>156778.435</v>
      </c>
      <c r="M81" s="35"/>
      <c r="N81" s="35">
        <f>SUM(N68:N80)</f>
        <v>14297.560000000001</v>
      </c>
      <c r="O81" s="35"/>
      <c r="P81" s="35">
        <f>SUM(P63:P80)</f>
        <v>31824</v>
      </c>
      <c r="Q81" s="35"/>
      <c r="R81" s="35">
        <f>SUM(R63:R80)</f>
        <v>421286.78</v>
      </c>
      <c r="S81" s="36">
        <f>SUM(S63:S80)</f>
        <v>2949007.46</v>
      </c>
      <c r="T81" s="54"/>
    </row>
    <row r="82" spans="1:20" s="13" customFormat="1" ht="27.6" customHeight="1" x14ac:dyDescent="0.2">
      <c r="A82" s="18"/>
      <c r="B82" s="55" t="s">
        <v>139</v>
      </c>
      <c r="C82" s="85"/>
      <c r="D82" s="85"/>
      <c r="E82" s="94"/>
      <c r="F82" s="85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110"/>
      <c r="T82" s="52"/>
    </row>
    <row r="83" spans="1:20" s="13" customFormat="1" x14ac:dyDescent="0.25">
      <c r="A83" s="20" t="s">
        <v>140</v>
      </c>
      <c r="B83" s="21" t="s">
        <v>100</v>
      </c>
      <c r="C83" s="22">
        <v>1</v>
      </c>
      <c r="D83" s="22">
        <v>12</v>
      </c>
      <c r="E83" s="23">
        <v>6773</v>
      </c>
      <c r="F83" s="22">
        <f>E83*0.25</f>
        <v>1693.25</v>
      </c>
      <c r="G83" s="23">
        <f t="shared" ref="G83:G110" si="31">E83+F83</f>
        <v>8466.25</v>
      </c>
      <c r="H83" s="23"/>
      <c r="I83" s="23"/>
      <c r="J83" s="23"/>
      <c r="K83" s="23">
        <f>G83*0.3</f>
        <v>2539.875</v>
      </c>
      <c r="L83" s="23">
        <f t="shared" ref="L83" si="32">20000-G83-K83</f>
        <v>8993.875</v>
      </c>
      <c r="M83" s="23"/>
      <c r="N83" s="23"/>
      <c r="O83" s="23"/>
      <c r="P83" s="23"/>
      <c r="Q83" s="23"/>
      <c r="R83" s="23">
        <f t="shared" ref="R83:R85" si="33">G83+K83+L83</f>
        <v>20000</v>
      </c>
      <c r="S83" s="25">
        <f>R83*7</f>
        <v>140000</v>
      </c>
      <c r="T83" s="52"/>
    </row>
    <row r="84" spans="1:20" s="13" customFormat="1" x14ac:dyDescent="0.25">
      <c r="A84" s="20" t="s">
        <v>141</v>
      </c>
      <c r="B84" s="21" t="s">
        <v>142</v>
      </c>
      <c r="C84" s="22">
        <v>1.5</v>
      </c>
      <c r="D84" s="22">
        <v>14</v>
      </c>
      <c r="E84" s="23">
        <v>11598</v>
      </c>
      <c r="F84" s="22"/>
      <c r="G84" s="23">
        <f t="shared" si="31"/>
        <v>11598</v>
      </c>
      <c r="H84" s="23"/>
      <c r="I84" s="23"/>
      <c r="J84" s="23"/>
      <c r="K84" s="23">
        <f t="shared" ref="K84:K108" si="34">G84*0.3</f>
        <v>3479.4</v>
      </c>
      <c r="L84" s="23">
        <f>30000-G84-K84</f>
        <v>14922.6</v>
      </c>
      <c r="M84" s="23"/>
      <c r="N84" s="23"/>
      <c r="O84" s="23"/>
      <c r="P84" s="23"/>
      <c r="Q84" s="23"/>
      <c r="R84" s="23">
        <f t="shared" si="33"/>
        <v>30000</v>
      </c>
      <c r="S84" s="25">
        <f t="shared" ref="S84:S110" si="35">R84*7</f>
        <v>210000</v>
      </c>
      <c r="T84" s="52"/>
    </row>
    <row r="85" spans="1:20" s="13" customFormat="1" x14ac:dyDescent="0.25">
      <c r="A85" s="20" t="s">
        <v>143</v>
      </c>
      <c r="B85" s="21" t="s">
        <v>144</v>
      </c>
      <c r="C85" s="22">
        <v>1</v>
      </c>
      <c r="D85" s="22">
        <v>12</v>
      </c>
      <c r="E85" s="23">
        <v>6773</v>
      </c>
      <c r="F85" s="23">
        <f>E85*0.15</f>
        <v>1015.9499999999999</v>
      </c>
      <c r="G85" s="23">
        <f t="shared" si="31"/>
        <v>7788.95</v>
      </c>
      <c r="H85" s="23"/>
      <c r="I85" s="23"/>
      <c r="J85" s="23"/>
      <c r="K85" s="23">
        <f t="shared" si="34"/>
        <v>2336.6849999999999</v>
      </c>
      <c r="L85" s="23">
        <f t="shared" ref="L85" si="36">20000-G85-K85</f>
        <v>9874.3649999999998</v>
      </c>
      <c r="M85" s="23"/>
      <c r="N85" s="23"/>
      <c r="O85" s="23"/>
      <c r="P85" s="23"/>
      <c r="Q85" s="23"/>
      <c r="R85" s="23">
        <f t="shared" si="33"/>
        <v>20000</v>
      </c>
      <c r="S85" s="25">
        <f t="shared" si="35"/>
        <v>140000</v>
      </c>
      <c r="T85" s="52"/>
    </row>
    <row r="86" spans="1:20" s="13" customFormat="1" x14ac:dyDescent="0.25">
      <c r="A86" s="20" t="s">
        <v>145</v>
      </c>
      <c r="B86" s="21" t="s">
        <v>146</v>
      </c>
      <c r="C86" s="22">
        <v>1</v>
      </c>
      <c r="D86" s="22">
        <v>11</v>
      </c>
      <c r="E86" s="23">
        <v>6294</v>
      </c>
      <c r="F86" s="22"/>
      <c r="G86" s="23">
        <f t="shared" si="31"/>
        <v>6294</v>
      </c>
      <c r="H86" s="23"/>
      <c r="I86" s="23"/>
      <c r="J86" s="23"/>
      <c r="K86" s="23">
        <f t="shared" si="34"/>
        <v>1888.1999999999998</v>
      </c>
      <c r="L86" s="23">
        <f>20000-G86-K86</f>
        <v>11817.8</v>
      </c>
      <c r="M86" s="23"/>
      <c r="N86" s="23"/>
      <c r="O86" s="23"/>
      <c r="P86" s="23"/>
      <c r="Q86" s="23"/>
      <c r="R86" s="23">
        <f>G86+K86+L86</f>
        <v>20000</v>
      </c>
      <c r="S86" s="25">
        <f t="shared" si="35"/>
        <v>140000</v>
      </c>
      <c r="T86" s="52"/>
    </row>
    <row r="87" spans="1:20" s="13" customFormat="1" x14ac:dyDescent="0.25">
      <c r="A87" s="20" t="s">
        <v>147</v>
      </c>
      <c r="B87" s="21" t="s">
        <v>148</v>
      </c>
      <c r="C87" s="22">
        <v>1</v>
      </c>
      <c r="D87" s="22">
        <v>11</v>
      </c>
      <c r="E87" s="23">
        <v>6294</v>
      </c>
      <c r="F87" s="22"/>
      <c r="G87" s="23">
        <f t="shared" si="31"/>
        <v>6294</v>
      </c>
      <c r="H87" s="23"/>
      <c r="I87" s="23"/>
      <c r="J87" s="23"/>
      <c r="K87" s="23">
        <f t="shared" si="34"/>
        <v>1888.1999999999998</v>
      </c>
      <c r="L87" s="23">
        <f t="shared" ref="L87" si="37">20000-G87-K87</f>
        <v>11817.8</v>
      </c>
      <c r="M87" s="23"/>
      <c r="N87" s="23"/>
      <c r="O87" s="23"/>
      <c r="P87" s="23"/>
      <c r="Q87" s="23"/>
      <c r="R87" s="23">
        <f t="shared" ref="R87:R102" si="38">G87+K87+L87</f>
        <v>20000</v>
      </c>
      <c r="S87" s="25">
        <f t="shared" si="35"/>
        <v>140000</v>
      </c>
      <c r="T87" s="52"/>
    </row>
    <row r="88" spans="1:20" s="13" customFormat="1" x14ac:dyDescent="0.25">
      <c r="A88" s="20" t="s">
        <v>149</v>
      </c>
      <c r="B88" s="21" t="s">
        <v>150</v>
      </c>
      <c r="C88" s="22">
        <v>0.5</v>
      </c>
      <c r="D88" s="22">
        <v>14</v>
      </c>
      <c r="E88" s="23">
        <f>7732*C88</f>
        <v>3866</v>
      </c>
      <c r="F88" s="22"/>
      <c r="G88" s="23">
        <f t="shared" si="31"/>
        <v>3866</v>
      </c>
      <c r="H88" s="23"/>
      <c r="I88" s="23"/>
      <c r="J88" s="23"/>
      <c r="K88" s="23">
        <f t="shared" si="34"/>
        <v>1159.8</v>
      </c>
      <c r="L88" s="23">
        <f>20000*C88-G88-K88</f>
        <v>4974.2</v>
      </c>
      <c r="M88" s="23"/>
      <c r="N88" s="23"/>
      <c r="O88" s="23"/>
      <c r="P88" s="23"/>
      <c r="Q88" s="23"/>
      <c r="R88" s="23">
        <f t="shared" si="38"/>
        <v>10000</v>
      </c>
      <c r="S88" s="25">
        <f t="shared" si="35"/>
        <v>70000</v>
      </c>
      <c r="T88" s="52"/>
    </row>
    <row r="89" spans="1:20" s="13" customFormat="1" x14ac:dyDescent="0.25">
      <c r="A89" s="20" t="s">
        <v>151</v>
      </c>
      <c r="B89" s="21" t="s">
        <v>104</v>
      </c>
      <c r="C89" s="22">
        <v>0.5</v>
      </c>
      <c r="D89" s="22">
        <v>11</v>
      </c>
      <c r="E89" s="23">
        <v>3147</v>
      </c>
      <c r="F89" s="23">
        <f>E89*0.15</f>
        <v>472.04999999999995</v>
      </c>
      <c r="G89" s="23">
        <f t="shared" si="31"/>
        <v>3619.05</v>
      </c>
      <c r="H89" s="23"/>
      <c r="I89" s="23"/>
      <c r="J89" s="23"/>
      <c r="K89" s="23">
        <f t="shared" si="34"/>
        <v>1085.7149999999999</v>
      </c>
      <c r="L89" s="23">
        <f>20000/2-G89-K89</f>
        <v>5295.2349999999997</v>
      </c>
      <c r="M89" s="23"/>
      <c r="N89" s="23"/>
      <c r="O89" s="23"/>
      <c r="P89" s="23"/>
      <c r="Q89" s="23"/>
      <c r="R89" s="23">
        <f t="shared" si="38"/>
        <v>10000</v>
      </c>
      <c r="S89" s="25">
        <f t="shared" si="35"/>
        <v>70000</v>
      </c>
      <c r="T89" s="52"/>
    </row>
    <row r="90" spans="1:20" s="13" customFormat="1" x14ac:dyDescent="0.25">
      <c r="A90" s="20" t="s">
        <v>152</v>
      </c>
      <c r="B90" s="21" t="s">
        <v>153</v>
      </c>
      <c r="C90" s="22">
        <v>2</v>
      </c>
      <c r="D90" s="22">
        <v>14</v>
      </c>
      <c r="E90" s="23">
        <f>7732*C90</f>
        <v>15464</v>
      </c>
      <c r="F90" s="23">
        <f>E90*0.15</f>
        <v>2319.6</v>
      </c>
      <c r="G90" s="23">
        <f t="shared" si="31"/>
        <v>17783.599999999999</v>
      </c>
      <c r="H90" s="23"/>
      <c r="I90" s="23"/>
      <c r="J90" s="23"/>
      <c r="K90" s="23">
        <f t="shared" si="34"/>
        <v>5335.079999999999</v>
      </c>
      <c r="L90" s="23">
        <f>20000*C90-G90-K90</f>
        <v>16881.320000000003</v>
      </c>
      <c r="M90" s="23"/>
      <c r="N90" s="23"/>
      <c r="O90" s="23"/>
      <c r="P90" s="23"/>
      <c r="Q90" s="23"/>
      <c r="R90" s="23">
        <f t="shared" si="38"/>
        <v>40000</v>
      </c>
      <c r="S90" s="25">
        <f t="shared" si="35"/>
        <v>280000</v>
      </c>
      <c r="T90" s="52"/>
    </row>
    <row r="91" spans="1:20" s="13" customFormat="1" x14ac:dyDescent="0.25">
      <c r="A91" s="20" t="s">
        <v>154</v>
      </c>
      <c r="B91" s="21" t="s">
        <v>155</v>
      </c>
      <c r="C91" s="22">
        <v>0.75</v>
      </c>
      <c r="D91" s="22">
        <v>13</v>
      </c>
      <c r="E91" s="23">
        <f>7253*C91</f>
        <v>5439.75</v>
      </c>
      <c r="F91" s="22"/>
      <c r="G91" s="23">
        <f t="shared" si="31"/>
        <v>5439.75</v>
      </c>
      <c r="H91" s="23"/>
      <c r="I91" s="23"/>
      <c r="J91" s="23"/>
      <c r="K91" s="23">
        <f t="shared" si="34"/>
        <v>1631.925</v>
      </c>
      <c r="L91" s="23">
        <f>20000-G91-K91</f>
        <v>12928.325000000001</v>
      </c>
      <c r="M91" s="23"/>
      <c r="N91" s="23"/>
      <c r="O91" s="23"/>
      <c r="P91" s="23"/>
      <c r="Q91" s="23"/>
      <c r="R91" s="23">
        <f t="shared" si="38"/>
        <v>20000</v>
      </c>
      <c r="S91" s="25">
        <f t="shared" si="35"/>
        <v>140000</v>
      </c>
      <c r="T91" s="52"/>
    </row>
    <row r="92" spans="1:20" x14ac:dyDescent="0.25">
      <c r="A92" s="20" t="s">
        <v>156</v>
      </c>
      <c r="B92" s="21" t="s">
        <v>157</v>
      </c>
      <c r="C92" s="22">
        <v>0.75</v>
      </c>
      <c r="D92" s="22">
        <v>14</v>
      </c>
      <c r="E92" s="23">
        <f>7732*C92</f>
        <v>5799</v>
      </c>
      <c r="F92" s="23">
        <f>E92*0.15</f>
        <v>869.85</v>
      </c>
      <c r="G92" s="23">
        <f t="shared" si="31"/>
        <v>6668.85</v>
      </c>
      <c r="H92" s="23"/>
      <c r="I92" s="23"/>
      <c r="J92" s="23"/>
      <c r="K92" s="23">
        <f t="shared" si="34"/>
        <v>2000.655</v>
      </c>
      <c r="L92" s="23">
        <f>20000-G92-K92</f>
        <v>11330.494999999999</v>
      </c>
      <c r="M92" s="23"/>
      <c r="N92" s="23"/>
      <c r="O92" s="23"/>
      <c r="P92" s="23"/>
      <c r="Q92" s="23"/>
      <c r="R92" s="23">
        <f t="shared" si="38"/>
        <v>20000</v>
      </c>
      <c r="S92" s="25">
        <f t="shared" si="35"/>
        <v>140000</v>
      </c>
      <c r="T92" s="53"/>
    </row>
    <row r="93" spans="1:20" s="13" customFormat="1" x14ac:dyDescent="0.25">
      <c r="A93" s="20" t="s">
        <v>119</v>
      </c>
      <c r="B93" s="21" t="s">
        <v>158</v>
      </c>
      <c r="C93" s="22">
        <v>0.25</v>
      </c>
      <c r="D93" s="22">
        <v>14</v>
      </c>
      <c r="E93" s="23">
        <f>7732*C93</f>
        <v>1933</v>
      </c>
      <c r="F93" s="22"/>
      <c r="G93" s="23">
        <f>E93+F93</f>
        <v>1933</v>
      </c>
      <c r="H93" s="23"/>
      <c r="I93" s="23"/>
      <c r="J93" s="23"/>
      <c r="K93" s="23">
        <f t="shared" si="34"/>
        <v>579.9</v>
      </c>
      <c r="L93" s="23">
        <f>20000*C93-G93-K93</f>
        <v>2487.1</v>
      </c>
      <c r="M93" s="23"/>
      <c r="N93" s="23"/>
      <c r="O93" s="23"/>
      <c r="P93" s="23"/>
      <c r="Q93" s="23"/>
      <c r="R93" s="23">
        <f>G93+K93+L93</f>
        <v>5000</v>
      </c>
      <c r="S93" s="25">
        <f t="shared" si="35"/>
        <v>35000</v>
      </c>
      <c r="T93" s="52"/>
    </row>
    <row r="94" spans="1:20" s="13" customFormat="1" x14ac:dyDescent="0.25">
      <c r="A94" s="20" t="s">
        <v>159</v>
      </c>
      <c r="B94" s="21" t="s">
        <v>160</v>
      </c>
      <c r="C94" s="22">
        <v>0.5</v>
      </c>
      <c r="D94" s="22">
        <v>14</v>
      </c>
      <c r="E94" s="23">
        <v>3866</v>
      </c>
      <c r="F94" s="22"/>
      <c r="G94" s="23">
        <f t="shared" si="31"/>
        <v>3866</v>
      </c>
      <c r="H94" s="23"/>
      <c r="I94" s="23"/>
      <c r="J94" s="23"/>
      <c r="K94" s="23">
        <f t="shared" si="34"/>
        <v>1159.8</v>
      </c>
      <c r="L94" s="23">
        <f>20000/2-G94-K94</f>
        <v>4974.2</v>
      </c>
      <c r="M94" s="23"/>
      <c r="N94" s="23"/>
      <c r="O94" s="23"/>
      <c r="P94" s="23"/>
      <c r="Q94" s="23"/>
      <c r="R94" s="23">
        <f t="shared" si="38"/>
        <v>10000</v>
      </c>
      <c r="S94" s="25">
        <f t="shared" si="35"/>
        <v>70000</v>
      </c>
      <c r="T94" s="52"/>
    </row>
    <row r="95" spans="1:20" s="13" customFormat="1" x14ac:dyDescent="0.25">
      <c r="A95" s="20" t="s">
        <v>161</v>
      </c>
      <c r="B95" s="21" t="s">
        <v>162</v>
      </c>
      <c r="C95" s="22">
        <v>0.5</v>
      </c>
      <c r="D95" s="22">
        <v>11</v>
      </c>
      <c r="E95" s="23">
        <v>3147</v>
      </c>
      <c r="F95" s="22"/>
      <c r="G95" s="23">
        <f t="shared" si="31"/>
        <v>3147</v>
      </c>
      <c r="H95" s="23"/>
      <c r="I95" s="23"/>
      <c r="J95" s="23"/>
      <c r="K95" s="23">
        <f t="shared" si="34"/>
        <v>944.09999999999991</v>
      </c>
      <c r="L95" s="23">
        <f>20000/2-G95-K95</f>
        <v>5908.9</v>
      </c>
      <c r="M95" s="23"/>
      <c r="N95" s="23"/>
      <c r="O95" s="23"/>
      <c r="P95" s="23"/>
      <c r="Q95" s="23"/>
      <c r="R95" s="23">
        <f t="shared" si="38"/>
        <v>10000</v>
      </c>
      <c r="S95" s="25">
        <f t="shared" si="35"/>
        <v>70000</v>
      </c>
      <c r="T95" s="52"/>
    </row>
    <row r="96" spans="1:20" s="56" customFormat="1" x14ac:dyDescent="0.25">
      <c r="A96" s="20" t="s">
        <v>163</v>
      </c>
      <c r="B96" s="21" t="s">
        <v>164</v>
      </c>
      <c r="C96" s="22">
        <v>0.5</v>
      </c>
      <c r="D96" s="22">
        <v>14</v>
      </c>
      <c r="E96" s="23">
        <v>3866</v>
      </c>
      <c r="F96" s="22"/>
      <c r="G96" s="23">
        <f t="shared" si="31"/>
        <v>3866</v>
      </c>
      <c r="H96" s="23"/>
      <c r="I96" s="23"/>
      <c r="J96" s="23"/>
      <c r="K96" s="23">
        <f t="shared" si="34"/>
        <v>1159.8</v>
      </c>
      <c r="L96" s="23">
        <f>20000/2-G96-K96</f>
        <v>4974.2</v>
      </c>
      <c r="M96" s="23"/>
      <c r="N96" s="23"/>
      <c r="O96" s="23"/>
      <c r="P96" s="23"/>
      <c r="Q96" s="23"/>
      <c r="R96" s="23">
        <f t="shared" si="38"/>
        <v>10000</v>
      </c>
      <c r="S96" s="25">
        <f t="shared" si="35"/>
        <v>70000</v>
      </c>
    </row>
    <row r="97" spans="1:20" s="56" customFormat="1" x14ac:dyDescent="0.25">
      <c r="A97" s="20" t="s">
        <v>163</v>
      </c>
      <c r="B97" s="21" t="s">
        <v>332</v>
      </c>
      <c r="C97" s="22">
        <v>0.5</v>
      </c>
      <c r="D97" s="22">
        <v>14</v>
      </c>
      <c r="E97" s="23">
        <v>3866</v>
      </c>
      <c r="F97" s="22"/>
      <c r="G97" s="23">
        <f t="shared" ref="G97" si="39">E97+F97</f>
        <v>3866</v>
      </c>
      <c r="H97" s="23"/>
      <c r="I97" s="23"/>
      <c r="J97" s="23"/>
      <c r="K97" s="23">
        <f t="shared" ref="K97" si="40">G97*0.3</f>
        <v>1159.8</v>
      </c>
      <c r="L97" s="23">
        <f>20000/2-G97-K97</f>
        <v>4974.2</v>
      </c>
      <c r="M97" s="23"/>
      <c r="N97" s="23"/>
      <c r="O97" s="23"/>
      <c r="P97" s="23"/>
      <c r="Q97" s="23"/>
      <c r="R97" s="23">
        <f t="shared" ref="R97" si="41">G97+K97+L97</f>
        <v>10000</v>
      </c>
      <c r="S97" s="25">
        <f t="shared" si="35"/>
        <v>70000</v>
      </c>
    </row>
    <row r="98" spans="1:20" s="13" customFormat="1" x14ac:dyDescent="0.25">
      <c r="A98" s="20" t="s">
        <v>165</v>
      </c>
      <c r="B98" s="21" t="s">
        <v>166</v>
      </c>
      <c r="C98" s="22">
        <v>1</v>
      </c>
      <c r="D98" s="22">
        <v>14</v>
      </c>
      <c r="E98" s="23">
        <v>7732</v>
      </c>
      <c r="F98" s="22"/>
      <c r="G98" s="23">
        <f t="shared" si="31"/>
        <v>7732</v>
      </c>
      <c r="H98" s="23"/>
      <c r="I98" s="23"/>
      <c r="J98" s="23"/>
      <c r="K98" s="23">
        <f t="shared" si="34"/>
        <v>2319.6</v>
      </c>
      <c r="L98" s="23">
        <f t="shared" ref="L98" si="42">20000-G98-K98</f>
        <v>9948.4</v>
      </c>
      <c r="M98" s="23"/>
      <c r="N98" s="23"/>
      <c r="O98" s="23"/>
      <c r="P98" s="23"/>
      <c r="Q98" s="23"/>
      <c r="R98" s="23">
        <f t="shared" si="38"/>
        <v>20000</v>
      </c>
      <c r="S98" s="25">
        <f t="shared" si="35"/>
        <v>140000</v>
      </c>
      <c r="T98" s="52"/>
    </row>
    <row r="99" spans="1:20" x14ac:dyDescent="0.25">
      <c r="A99" s="20" t="s">
        <v>167</v>
      </c>
      <c r="B99" s="21" t="s">
        <v>112</v>
      </c>
      <c r="C99" s="22">
        <v>0.5</v>
      </c>
      <c r="D99" s="22">
        <v>10</v>
      </c>
      <c r="E99" s="23">
        <v>2907.5</v>
      </c>
      <c r="F99" s="22"/>
      <c r="G99" s="23">
        <f t="shared" si="31"/>
        <v>2907.5</v>
      </c>
      <c r="H99" s="23"/>
      <c r="I99" s="23"/>
      <c r="J99" s="23"/>
      <c r="K99" s="23">
        <f t="shared" si="34"/>
        <v>872.25</v>
      </c>
      <c r="L99" s="23">
        <f>20000/2-G99-K99</f>
        <v>6220.25</v>
      </c>
      <c r="M99" s="23"/>
      <c r="N99" s="23"/>
      <c r="O99" s="23"/>
      <c r="P99" s="23"/>
      <c r="Q99" s="23"/>
      <c r="R99" s="23">
        <f t="shared" si="38"/>
        <v>10000</v>
      </c>
      <c r="S99" s="25">
        <f t="shared" si="35"/>
        <v>70000</v>
      </c>
      <c r="T99" s="53"/>
    </row>
    <row r="100" spans="1:20" s="13" customFormat="1" x14ac:dyDescent="0.25">
      <c r="A100" s="20" t="s">
        <v>168</v>
      </c>
      <c r="B100" s="21" t="s">
        <v>169</v>
      </c>
      <c r="C100" s="22">
        <v>1.5</v>
      </c>
      <c r="D100" s="22">
        <v>14</v>
      </c>
      <c r="E100" s="23">
        <f>7732*C100</f>
        <v>11598</v>
      </c>
      <c r="F100" s="22"/>
      <c r="G100" s="23">
        <f t="shared" si="31"/>
        <v>11598</v>
      </c>
      <c r="H100" s="23"/>
      <c r="I100" s="23"/>
      <c r="J100" s="23"/>
      <c r="K100" s="23">
        <f t="shared" si="34"/>
        <v>3479.4</v>
      </c>
      <c r="L100" s="23">
        <f>20000*C100-G100-K100</f>
        <v>14922.6</v>
      </c>
      <c r="M100" s="23"/>
      <c r="N100" s="23"/>
      <c r="O100" s="23"/>
      <c r="P100" s="23"/>
      <c r="Q100" s="23"/>
      <c r="R100" s="23">
        <f t="shared" si="38"/>
        <v>30000</v>
      </c>
      <c r="S100" s="25">
        <f t="shared" si="35"/>
        <v>210000</v>
      </c>
      <c r="T100" s="52"/>
    </row>
    <row r="101" spans="1:20" x14ac:dyDescent="0.25">
      <c r="A101" s="20" t="s">
        <v>170</v>
      </c>
      <c r="B101" s="21" t="s">
        <v>171</v>
      </c>
      <c r="C101" s="22">
        <v>0.5</v>
      </c>
      <c r="D101" s="22">
        <v>13</v>
      </c>
      <c r="E101" s="23">
        <f>7523*C101</f>
        <v>3761.5</v>
      </c>
      <c r="F101" s="22"/>
      <c r="G101" s="23">
        <f t="shared" si="31"/>
        <v>3761.5</v>
      </c>
      <c r="H101" s="23"/>
      <c r="I101" s="23"/>
      <c r="J101" s="23"/>
      <c r="K101" s="23">
        <f t="shared" si="34"/>
        <v>1128.45</v>
      </c>
      <c r="L101" s="23">
        <f>20000/2-G101-K101</f>
        <v>5110.05</v>
      </c>
      <c r="M101" s="23"/>
      <c r="N101" s="23"/>
      <c r="O101" s="23"/>
      <c r="P101" s="23"/>
      <c r="Q101" s="23"/>
      <c r="R101" s="23">
        <f t="shared" si="38"/>
        <v>10000</v>
      </c>
      <c r="S101" s="25">
        <f t="shared" si="35"/>
        <v>70000</v>
      </c>
      <c r="T101" s="53"/>
    </row>
    <row r="102" spans="1:20" x14ac:dyDescent="0.25">
      <c r="A102" s="20" t="s">
        <v>172</v>
      </c>
      <c r="B102" s="21" t="s">
        <v>173</v>
      </c>
      <c r="C102" s="22">
        <v>0.5</v>
      </c>
      <c r="D102" s="22">
        <v>14</v>
      </c>
      <c r="E102" s="23">
        <v>3866</v>
      </c>
      <c r="F102" s="22"/>
      <c r="G102" s="23">
        <f t="shared" si="31"/>
        <v>3866</v>
      </c>
      <c r="H102" s="23"/>
      <c r="I102" s="23"/>
      <c r="J102" s="23"/>
      <c r="K102" s="23">
        <f t="shared" si="34"/>
        <v>1159.8</v>
      </c>
      <c r="L102" s="23">
        <f>20000/2-G102-K102</f>
        <v>4974.2</v>
      </c>
      <c r="M102" s="23"/>
      <c r="N102" s="23"/>
      <c r="O102" s="23"/>
      <c r="P102" s="23"/>
      <c r="Q102" s="23"/>
      <c r="R102" s="23">
        <f t="shared" si="38"/>
        <v>10000</v>
      </c>
      <c r="S102" s="25">
        <f t="shared" si="35"/>
        <v>70000</v>
      </c>
      <c r="T102" s="53"/>
    </row>
    <row r="103" spans="1:20" x14ac:dyDescent="0.25">
      <c r="A103" s="20" t="s">
        <v>174</v>
      </c>
      <c r="B103" s="21" t="s">
        <v>128</v>
      </c>
      <c r="C103" s="22">
        <v>0.5</v>
      </c>
      <c r="D103" s="22">
        <v>9</v>
      </c>
      <c r="E103" s="23">
        <f>5527*C103</f>
        <v>2763.5</v>
      </c>
      <c r="F103" s="22"/>
      <c r="G103" s="23">
        <f t="shared" si="31"/>
        <v>2763.5</v>
      </c>
      <c r="H103" s="23"/>
      <c r="I103" s="23"/>
      <c r="J103" s="23"/>
      <c r="K103" s="23">
        <f t="shared" si="34"/>
        <v>829.05</v>
      </c>
      <c r="L103" s="23">
        <f>13500*C103-G103-K103</f>
        <v>3157.45</v>
      </c>
      <c r="M103" s="23"/>
      <c r="N103" s="23"/>
      <c r="O103" s="23"/>
      <c r="P103" s="23"/>
      <c r="Q103" s="23"/>
      <c r="R103" s="23">
        <f>G103+K103+L103</f>
        <v>6750</v>
      </c>
      <c r="S103" s="25">
        <f t="shared" si="35"/>
        <v>47250</v>
      </c>
      <c r="T103" s="53"/>
    </row>
    <row r="104" spans="1:20" x14ac:dyDescent="0.25">
      <c r="A104" s="20" t="s">
        <v>175</v>
      </c>
      <c r="B104" s="21" t="s">
        <v>176</v>
      </c>
      <c r="C104" s="22">
        <v>1</v>
      </c>
      <c r="D104" s="22">
        <v>9</v>
      </c>
      <c r="E104" s="23">
        <v>5527</v>
      </c>
      <c r="F104" s="22">
        <f>E104*0.15</f>
        <v>829.05</v>
      </c>
      <c r="G104" s="23">
        <f t="shared" si="31"/>
        <v>6356.05</v>
      </c>
      <c r="H104" s="23"/>
      <c r="I104" s="23"/>
      <c r="J104" s="23"/>
      <c r="K104" s="23">
        <f t="shared" si="34"/>
        <v>1906.8150000000001</v>
      </c>
      <c r="L104" s="23">
        <f>13500-G104-K104</f>
        <v>5237.1350000000002</v>
      </c>
      <c r="M104" s="23"/>
      <c r="N104" s="23"/>
      <c r="O104" s="23"/>
      <c r="P104" s="23"/>
      <c r="Q104" s="23"/>
      <c r="R104" s="23">
        <f>G104+K104+L104</f>
        <v>13500</v>
      </c>
      <c r="S104" s="25">
        <f t="shared" si="35"/>
        <v>94500</v>
      </c>
      <c r="T104" s="53"/>
    </row>
    <row r="105" spans="1:20" x14ac:dyDescent="0.25">
      <c r="A105" s="20" t="s">
        <v>177</v>
      </c>
      <c r="B105" s="21" t="s">
        <v>178</v>
      </c>
      <c r="C105" s="22">
        <v>1.5</v>
      </c>
      <c r="D105" s="22">
        <v>7</v>
      </c>
      <c r="E105" s="23">
        <v>7380</v>
      </c>
      <c r="F105" s="22"/>
      <c r="G105" s="23">
        <f t="shared" si="31"/>
        <v>7380</v>
      </c>
      <c r="H105" s="23"/>
      <c r="I105" s="23">
        <f>G105*0.1</f>
        <v>738</v>
      </c>
      <c r="J105" s="23"/>
      <c r="K105" s="23">
        <f t="shared" si="34"/>
        <v>2214</v>
      </c>
      <c r="L105" s="23">
        <f>13500*1.5-G105-I105-K105</f>
        <v>9918</v>
      </c>
      <c r="M105" s="23"/>
      <c r="N105" s="23"/>
      <c r="O105" s="23"/>
      <c r="P105" s="23"/>
      <c r="Q105" s="23"/>
      <c r="R105" s="23">
        <f>G105+I105+K105+L105</f>
        <v>20250</v>
      </c>
      <c r="S105" s="25">
        <f t="shared" si="35"/>
        <v>141750</v>
      </c>
      <c r="T105" s="53"/>
    </row>
    <row r="106" spans="1:20" x14ac:dyDescent="0.25">
      <c r="A106" s="20" t="s">
        <v>179</v>
      </c>
      <c r="B106" s="21" t="s">
        <v>91</v>
      </c>
      <c r="C106" s="22">
        <v>6</v>
      </c>
      <c r="D106" s="22">
        <v>9</v>
      </c>
      <c r="E106" s="23">
        <f>5527*C106</f>
        <v>33162</v>
      </c>
      <c r="F106" s="22"/>
      <c r="G106" s="23">
        <f t="shared" si="31"/>
        <v>33162</v>
      </c>
      <c r="H106" s="23"/>
      <c r="I106" s="23"/>
      <c r="J106" s="23"/>
      <c r="K106" s="23">
        <f t="shared" si="34"/>
        <v>9948.6</v>
      </c>
      <c r="L106" s="23">
        <f>13500*C106-G106-K106</f>
        <v>37889.4</v>
      </c>
      <c r="M106" s="23"/>
      <c r="N106" s="23"/>
      <c r="O106" s="23"/>
      <c r="P106" s="23"/>
      <c r="Q106" s="23"/>
      <c r="R106" s="23">
        <f t="shared" ref="R106" si="43">G106+K106+L106</f>
        <v>81000</v>
      </c>
      <c r="S106" s="25">
        <f t="shared" si="35"/>
        <v>567000</v>
      </c>
      <c r="T106" s="53"/>
    </row>
    <row r="107" spans="1:20" x14ac:dyDescent="0.25">
      <c r="A107" s="20" t="s">
        <v>181</v>
      </c>
      <c r="B107" s="21" t="s">
        <v>180</v>
      </c>
      <c r="C107" s="22">
        <v>1</v>
      </c>
      <c r="D107" s="22">
        <v>9</v>
      </c>
      <c r="E107" s="23">
        <f>5527*C107</f>
        <v>5527</v>
      </c>
      <c r="F107" s="22"/>
      <c r="G107" s="23">
        <f t="shared" si="31"/>
        <v>5527</v>
      </c>
      <c r="H107" s="23"/>
      <c r="I107" s="23">
        <f>G107*0.1</f>
        <v>552.70000000000005</v>
      </c>
      <c r="J107" s="23"/>
      <c r="K107" s="23">
        <f t="shared" si="34"/>
        <v>1658.1</v>
      </c>
      <c r="L107" s="23">
        <f>13500-G107-K107-I107</f>
        <v>5762.2</v>
      </c>
      <c r="M107" s="23"/>
      <c r="N107" s="23"/>
      <c r="O107" s="23"/>
      <c r="P107" s="23"/>
      <c r="Q107" s="23"/>
      <c r="R107" s="23">
        <f>G107+K107+L107+I107</f>
        <v>13500</v>
      </c>
      <c r="S107" s="25">
        <f t="shared" si="35"/>
        <v>94500</v>
      </c>
      <c r="T107" s="53"/>
    </row>
    <row r="108" spans="1:20" x14ac:dyDescent="0.25">
      <c r="A108" s="20" t="s">
        <v>183</v>
      </c>
      <c r="B108" s="21" t="s">
        <v>182</v>
      </c>
      <c r="C108" s="22">
        <v>2</v>
      </c>
      <c r="D108" s="22">
        <v>9</v>
      </c>
      <c r="E108" s="23">
        <f>5527*C108</f>
        <v>11054</v>
      </c>
      <c r="F108" s="22">
        <f>E108*0.15</f>
        <v>1658.1</v>
      </c>
      <c r="G108" s="23">
        <f t="shared" si="31"/>
        <v>12712.1</v>
      </c>
      <c r="H108" s="23"/>
      <c r="I108" s="23"/>
      <c r="J108" s="23"/>
      <c r="K108" s="23">
        <f t="shared" si="34"/>
        <v>3813.63</v>
      </c>
      <c r="L108" s="23">
        <f>13500*C108-G108-K108</f>
        <v>10474.27</v>
      </c>
      <c r="M108" s="23"/>
      <c r="N108" s="23"/>
      <c r="O108" s="23"/>
      <c r="P108" s="23"/>
      <c r="Q108" s="23"/>
      <c r="R108" s="23">
        <f t="shared" ref="R108" si="44">G108+K108+L108</f>
        <v>27000</v>
      </c>
      <c r="S108" s="25">
        <f t="shared" si="35"/>
        <v>189000</v>
      </c>
      <c r="T108" s="53"/>
    </row>
    <row r="109" spans="1:20" s="38" customFormat="1" x14ac:dyDescent="0.25">
      <c r="A109" s="20" t="s">
        <v>185</v>
      </c>
      <c r="B109" s="21" t="s">
        <v>184</v>
      </c>
      <c r="C109" s="22">
        <v>0.5</v>
      </c>
      <c r="D109" s="22">
        <v>4</v>
      </c>
      <c r="E109" s="23">
        <v>2029</v>
      </c>
      <c r="F109" s="22"/>
      <c r="G109" s="23">
        <f>E109+F109</f>
        <v>2029</v>
      </c>
      <c r="H109" s="23"/>
      <c r="I109" s="23"/>
      <c r="J109" s="23"/>
      <c r="K109" s="23"/>
      <c r="L109" s="23"/>
      <c r="M109" s="23"/>
      <c r="N109" s="23"/>
      <c r="O109" s="23"/>
      <c r="P109" s="23">
        <f>8000/2-G109</f>
        <v>1971</v>
      </c>
      <c r="Q109" s="23"/>
      <c r="R109" s="23">
        <f>G109+I109+P109</f>
        <v>4000</v>
      </c>
      <c r="S109" s="25">
        <f t="shared" si="35"/>
        <v>28000</v>
      </c>
      <c r="T109" s="46"/>
    </row>
    <row r="110" spans="1:20" x14ac:dyDescent="0.25">
      <c r="A110" s="20" t="s">
        <v>188</v>
      </c>
      <c r="B110" s="21" t="s">
        <v>134</v>
      </c>
      <c r="C110" s="22">
        <v>5</v>
      </c>
      <c r="D110" s="22">
        <v>3</v>
      </c>
      <c r="E110" s="23">
        <f>3770*C110</f>
        <v>18850</v>
      </c>
      <c r="F110" s="22"/>
      <c r="G110" s="23">
        <f t="shared" si="31"/>
        <v>18850</v>
      </c>
      <c r="H110" s="23"/>
      <c r="I110" s="23">
        <f>G110*0.1</f>
        <v>1885</v>
      </c>
      <c r="J110" s="23"/>
      <c r="K110" s="23"/>
      <c r="L110" s="23"/>
      <c r="M110" s="23"/>
      <c r="N110" s="23"/>
      <c r="O110" s="23"/>
      <c r="P110" s="23">
        <f>8000*C110-G110</f>
        <v>21150</v>
      </c>
      <c r="Q110" s="23"/>
      <c r="R110" s="23">
        <f>G110+I110+P110</f>
        <v>41885</v>
      </c>
      <c r="S110" s="25">
        <f t="shared" si="35"/>
        <v>293195</v>
      </c>
      <c r="T110" s="53"/>
    </row>
    <row r="111" spans="1:20" s="27" customFormat="1" ht="23.4" customHeight="1" thickBot="1" x14ac:dyDescent="0.3">
      <c r="A111" s="112"/>
      <c r="B111" s="113" t="s">
        <v>59</v>
      </c>
      <c r="C111" s="114">
        <f>SUM(C83:C110)</f>
        <v>33.75</v>
      </c>
      <c r="D111" s="114"/>
      <c r="E111" s="115">
        <f>SUM(E83:E110)</f>
        <v>204283.25</v>
      </c>
      <c r="F111" s="115">
        <f>SUM(F83:F110)</f>
        <v>8857.85</v>
      </c>
      <c r="G111" s="115">
        <f>SUM(G83:G110)</f>
        <v>213141.1</v>
      </c>
      <c r="H111" s="115"/>
      <c r="I111" s="115">
        <f>SUM(I83:I110)</f>
        <v>3175.7</v>
      </c>
      <c r="J111" s="115"/>
      <c r="K111" s="115">
        <f>SUM(K83:K110)</f>
        <v>57678.62999999999</v>
      </c>
      <c r="L111" s="115">
        <f>SUM(L83:L110)</f>
        <v>245768.57</v>
      </c>
      <c r="M111" s="115"/>
      <c r="N111" s="115"/>
      <c r="O111" s="115"/>
      <c r="P111" s="115">
        <f>SUM(P109:P110)</f>
        <v>23121</v>
      </c>
      <c r="Q111" s="115"/>
      <c r="R111" s="115">
        <f>SUM(R83:R110)</f>
        <v>542885</v>
      </c>
      <c r="S111" s="116">
        <f>SUM(S83:S110)</f>
        <v>3800195</v>
      </c>
      <c r="T111" s="54"/>
    </row>
    <row r="112" spans="1:20" ht="22.2" customHeight="1" x14ac:dyDescent="0.25">
      <c r="A112" s="15"/>
      <c r="B112" s="86" t="s">
        <v>187</v>
      </c>
      <c r="C112" s="85"/>
      <c r="D112" s="85"/>
      <c r="E112" s="94"/>
      <c r="F112" s="85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110"/>
      <c r="T112" s="53"/>
    </row>
    <row r="113" spans="1:20" x14ac:dyDescent="0.25">
      <c r="A113" s="20" t="s">
        <v>190</v>
      </c>
      <c r="B113" s="21" t="s">
        <v>189</v>
      </c>
      <c r="C113" s="22">
        <v>0.75</v>
      </c>
      <c r="D113" s="22">
        <v>10</v>
      </c>
      <c r="E113" s="23">
        <f>5815*C113</f>
        <v>4361.25</v>
      </c>
      <c r="F113" s="22">
        <f>E113*0.15</f>
        <v>654.1875</v>
      </c>
      <c r="G113" s="23">
        <f t="shared" ref="G113:G117" si="45">E113+F113</f>
        <v>5015.4375</v>
      </c>
      <c r="H113" s="23"/>
      <c r="I113" s="23">
        <f>G113*0.1</f>
        <v>501.54375000000005</v>
      </c>
      <c r="J113" s="23"/>
      <c r="K113" s="23">
        <f>G113*0.3</f>
        <v>1504.6312499999999</v>
      </c>
      <c r="L113" s="23">
        <f>20000*C113-G113-I113-K113</f>
        <v>7978.3874999999989</v>
      </c>
      <c r="M113" s="23"/>
      <c r="N113" s="23"/>
      <c r="O113" s="23"/>
      <c r="P113" s="23"/>
      <c r="Q113" s="23"/>
      <c r="R113" s="23">
        <f>G113+I113+K113+L113</f>
        <v>14999.999999999998</v>
      </c>
      <c r="S113" s="25">
        <f>R113*7</f>
        <v>104999.99999999999</v>
      </c>
      <c r="T113" s="53"/>
    </row>
    <row r="114" spans="1:20" x14ac:dyDescent="0.25">
      <c r="A114" s="20" t="s">
        <v>192</v>
      </c>
      <c r="B114" s="21" t="s">
        <v>191</v>
      </c>
      <c r="C114" s="22">
        <v>1</v>
      </c>
      <c r="D114" s="22">
        <v>9</v>
      </c>
      <c r="E114" s="23">
        <v>5527</v>
      </c>
      <c r="F114" s="22">
        <f>E114*0.15</f>
        <v>829.05</v>
      </c>
      <c r="G114" s="23">
        <f t="shared" si="45"/>
        <v>6356.05</v>
      </c>
      <c r="H114" s="23"/>
      <c r="I114" s="23"/>
      <c r="J114" s="23"/>
      <c r="K114" s="23">
        <f t="shared" ref="K114:K115" si="46">G114*0.3</f>
        <v>1906.8150000000001</v>
      </c>
      <c r="L114" s="23">
        <f>20000-G114-K114</f>
        <v>11737.135</v>
      </c>
      <c r="M114" s="23"/>
      <c r="N114" s="23"/>
      <c r="O114" s="23"/>
      <c r="P114" s="23"/>
      <c r="Q114" s="23"/>
      <c r="R114" s="23">
        <f>G114+I114+K114+L114</f>
        <v>20000</v>
      </c>
      <c r="S114" s="25">
        <f t="shared" ref="S114:S116" si="47">R114*7</f>
        <v>140000</v>
      </c>
      <c r="T114" s="53"/>
    </row>
    <row r="115" spans="1:20" x14ac:dyDescent="0.25">
      <c r="A115" s="20" t="s">
        <v>194</v>
      </c>
      <c r="B115" s="21" t="s">
        <v>193</v>
      </c>
      <c r="C115" s="22">
        <v>3</v>
      </c>
      <c r="D115" s="22">
        <v>10</v>
      </c>
      <c r="E115" s="23">
        <f>5815*C115</f>
        <v>17445</v>
      </c>
      <c r="F115" s="22">
        <f>E115*0.15</f>
        <v>2616.75</v>
      </c>
      <c r="G115" s="23">
        <f t="shared" si="45"/>
        <v>20061.75</v>
      </c>
      <c r="H115" s="23"/>
      <c r="I115" s="23">
        <f>G115*0.1</f>
        <v>2006.1750000000002</v>
      </c>
      <c r="J115" s="23"/>
      <c r="K115" s="23">
        <f t="shared" si="46"/>
        <v>6018.5249999999996</v>
      </c>
      <c r="L115" s="23">
        <f>13500*C115-G115-I115-K115</f>
        <v>12413.550000000001</v>
      </c>
      <c r="M115" s="23"/>
      <c r="N115" s="23"/>
      <c r="O115" s="23"/>
      <c r="P115" s="23"/>
      <c r="Q115" s="23"/>
      <c r="R115" s="23">
        <f>G115+I115+K115+L115</f>
        <v>40500</v>
      </c>
      <c r="S115" s="25">
        <f t="shared" si="47"/>
        <v>283500</v>
      </c>
      <c r="T115" s="53"/>
    </row>
    <row r="116" spans="1:20" s="38" customFormat="1" x14ac:dyDescent="0.25">
      <c r="A116" s="20" t="s">
        <v>197</v>
      </c>
      <c r="B116" s="21" t="s">
        <v>186</v>
      </c>
      <c r="C116" s="22">
        <v>1</v>
      </c>
      <c r="D116" s="22">
        <v>3</v>
      </c>
      <c r="E116" s="23">
        <f>3770*C116</f>
        <v>3770</v>
      </c>
      <c r="F116" s="22">
        <f>E116*0.15</f>
        <v>565.5</v>
      </c>
      <c r="G116" s="23">
        <f t="shared" si="45"/>
        <v>4335.5</v>
      </c>
      <c r="H116" s="23"/>
      <c r="I116" s="23">
        <f>G116*0.1</f>
        <v>433.55</v>
      </c>
      <c r="J116" s="23"/>
      <c r="K116" s="23" t="s">
        <v>195</v>
      </c>
      <c r="L116" s="23"/>
      <c r="M116" s="23"/>
      <c r="N116" s="23"/>
      <c r="O116" s="23"/>
      <c r="P116" s="23">
        <f>8000*C116-E116</f>
        <v>4230</v>
      </c>
      <c r="Q116" s="23"/>
      <c r="R116" s="23">
        <f>G116+I116+P116</f>
        <v>8999.0499999999993</v>
      </c>
      <c r="S116" s="25">
        <f t="shared" si="47"/>
        <v>62993.349999999991</v>
      </c>
      <c r="T116" s="46"/>
    </row>
    <row r="117" spans="1:20" s="27" customFormat="1" ht="25.2" customHeight="1" x14ac:dyDescent="0.25">
      <c r="A117" s="112"/>
      <c r="B117" s="113" t="s">
        <v>59</v>
      </c>
      <c r="C117" s="114">
        <f>C113+C114+C115+C116</f>
        <v>5.75</v>
      </c>
      <c r="D117" s="114"/>
      <c r="E117" s="115">
        <f>SUM(E113:E116)</f>
        <v>31103.25</v>
      </c>
      <c r="F117" s="114">
        <f>SUM(F113:F116)</f>
        <v>4665.4875000000002</v>
      </c>
      <c r="G117" s="115">
        <f t="shared" si="45"/>
        <v>35768.737500000003</v>
      </c>
      <c r="H117" s="115"/>
      <c r="I117" s="115">
        <f>SUM(I113:I116)</f>
        <v>2941.2687500000002</v>
      </c>
      <c r="J117" s="115"/>
      <c r="K117" s="115">
        <f>SUM(K113:K116)</f>
        <v>9429.9712499999987</v>
      </c>
      <c r="L117" s="115">
        <f>SUM(L113:L116)</f>
        <v>32129.072500000002</v>
      </c>
      <c r="M117" s="115"/>
      <c r="N117" s="115"/>
      <c r="O117" s="115"/>
      <c r="P117" s="115">
        <f>SUM(P113:P116)</f>
        <v>4230</v>
      </c>
      <c r="Q117" s="115"/>
      <c r="R117" s="115">
        <f>SUM(R113:R116)</f>
        <v>84499.05</v>
      </c>
      <c r="S117" s="116">
        <f>SUM(S113:S116)</f>
        <v>591493.35</v>
      </c>
      <c r="T117" s="54"/>
    </row>
    <row r="118" spans="1:20" s="27" customFormat="1" ht="21.6" customHeight="1" x14ac:dyDescent="0.25">
      <c r="A118" s="125"/>
      <c r="B118" s="126" t="s">
        <v>326</v>
      </c>
      <c r="C118" s="126"/>
      <c r="D118" s="126"/>
      <c r="E118" s="127"/>
      <c r="F118" s="126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127"/>
      <c r="T118" s="54"/>
    </row>
    <row r="119" spans="1:20" s="27" customFormat="1" ht="15" customHeight="1" x14ac:dyDescent="0.25">
      <c r="A119" s="128" t="s">
        <v>198</v>
      </c>
      <c r="B119" s="129" t="s">
        <v>323</v>
      </c>
      <c r="C119" s="130">
        <v>0.25</v>
      </c>
      <c r="D119" s="130">
        <v>10</v>
      </c>
      <c r="E119" s="131">
        <f>5815*C119</f>
        <v>1453.75</v>
      </c>
      <c r="F119" s="130">
        <f>E119*0.15</f>
        <v>218.0625</v>
      </c>
      <c r="G119" s="131">
        <f>E119+F119</f>
        <v>1671.8125</v>
      </c>
      <c r="H119" s="131"/>
      <c r="I119" s="131">
        <f>G119*0.1</f>
        <v>167.18125000000001</v>
      </c>
      <c r="J119" s="131"/>
      <c r="K119" s="131">
        <f>G119*0.3</f>
        <v>501.54374999999999</v>
      </c>
      <c r="L119" s="131">
        <f>20000*C119-G119-I119-K119</f>
        <v>2659.4625000000001</v>
      </c>
      <c r="M119" s="131"/>
      <c r="N119" s="131"/>
      <c r="O119" s="131"/>
      <c r="P119" s="131"/>
      <c r="Q119" s="131"/>
      <c r="R119" s="131">
        <f>L119+K119+I119+G119</f>
        <v>5000</v>
      </c>
      <c r="S119" s="131">
        <f>R119*7</f>
        <v>35000</v>
      </c>
      <c r="T119" s="54"/>
    </row>
    <row r="120" spans="1:20" s="27" customFormat="1" ht="13.2" customHeight="1" x14ac:dyDescent="0.25">
      <c r="A120" s="128" t="s">
        <v>199</v>
      </c>
      <c r="B120" s="129" t="s">
        <v>324</v>
      </c>
      <c r="C120" s="130">
        <v>0.25</v>
      </c>
      <c r="D120" s="130">
        <v>10</v>
      </c>
      <c r="E120" s="131">
        <f>5815*C120</f>
        <v>1453.75</v>
      </c>
      <c r="F120" s="130">
        <f>E120*0.15</f>
        <v>218.0625</v>
      </c>
      <c r="G120" s="131">
        <f>E120+F120</f>
        <v>1671.8125</v>
      </c>
      <c r="H120" s="131"/>
      <c r="I120" s="131">
        <f>G120*0.1</f>
        <v>167.18125000000001</v>
      </c>
      <c r="J120" s="131"/>
      <c r="K120" s="131">
        <f>G120*0.3</f>
        <v>501.54374999999999</v>
      </c>
      <c r="L120" s="131">
        <f>20000*C120-G120-I120-K120</f>
        <v>2659.4625000000001</v>
      </c>
      <c r="M120" s="131"/>
      <c r="N120" s="131"/>
      <c r="O120" s="131"/>
      <c r="P120" s="131"/>
      <c r="Q120" s="131"/>
      <c r="R120" s="131">
        <f t="shared" ref="R120" si="48">L120+K120+I120+G120</f>
        <v>5000</v>
      </c>
      <c r="S120" s="131">
        <f>R120*7</f>
        <v>35000</v>
      </c>
      <c r="T120" s="54"/>
    </row>
    <row r="121" spans="1:20" s="27" customFormat="1" ht="21.6" customHeight="1" x14ac:dyDescent="0.25">
      <c r="A121" s="128"/>
      <c r="B121" s="132" t="s">
        <v>59</v>
      </c>
      <c r="C121" s="126">
        <v>0.5</v>
      </c>
      <c r="D121" s="126"/>
      <c r="E121" s="127">
        <f>SUM(E119:E120)</f>
        <v>2907.5</v>
      </c>
      <c r="F121" s="126">
        <f>SUM(F119:F120)</f>
        <v>436.125</v>
      </c>
      <c r="G121" s="127">
        <f>SUM(G119:G120)</f>
        <v>3343.625</v>
      </c>
      <c r="H121" s="127"/>
      <c r="I121" s="127">
        <f>SUM(I119:I120)</f>
        <v>334.36250000000001</v>
      </c>
      <c r="J121" s="127"/>
      <c r="K121" s="127">
        <f>SUM(K119:K120)</f>
        <v>1003.0875</v>
      </c>
      <c r="L121" s="127">
        <f>SUM(L119:L120)</f>
        <v>5318.9250000000002</v>
      </c>
      <c r="M121" s="127"/>
      <c r="N121" s="127"/>
      <c r="O121" s="127"/>
      <c r="P121" s="127"/>
      <c r="Q121" s="127"/>
      <c r="R121" s="127">
        <f>SUM(R119:R120)</f>
        <v>10000</v>
      </c>
      <c r="S121" s="127">
        <f>SUM(S119:S120)</f>
        <v>70000</v>
      </c>
      <c r="T121" s="54"/>
    </row>
    <row r="122" spans="1:20" ht="23.4" customHeight="1" x14ac:dyDescent="0.25">
      <c r="A122" s="133"/>
      <c r="B122" s="29" t="s">
        <v>327</v>
      </c>
      <c r="C122" s="29"/>
      <c r="D122" s="29"/>
      <c r="E122" s="30"/>
      <c r="F122" s="29"/>
      <c r="G122" s="23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53"/>
    </row>
    <row r="123" spans="1:20" ht="14.4" customHeight="1" x14ac:dyDescent="0.25">
      <c r="A123" s="20" t="s">
        <v>198</v>
      </c>
      <c r="B123" s="21" t="s">
        <v>110</v>
      </c>
      <c r="C123" s="22">
        <v>0.25</v>
      </c>
      <c r="D123" s="22">
        <v>10</v>
      </c>
      <c r="E123" s="23">
        <f>5815*C123</f>
        <v>1453.75</v>
      </c>
      <c r="F123" s="22">
        <f t="shared" ref="F123:F126" si="49">E123*0.15</f>
        <v>218.0625</v>
      </c>
      <c r="G123" s="23">
        <f t="shared" si="21"/>
        <v>1671.8125</v>
      </c>
      <c r="H123" s="23"/>
      <c r="I123" s="23"/>
      <c r="J123" s="23"/>
      <c r="K123" s="23">
        <f>G123*0.3</f>
        <v>501.54374999999999</v>
      </c>
      <c r="L123" s="23">
        <f>20000*C123-G123-K123</f>
        <v>2826.6437500000002</v>
      </c>
      <c r="M123" s="23"/>
      <c r="N123" s="23"/>
      <c r="O123" s="23"/>
      <c r="P123" s="23"/>
      <c r="Q123" s="23"/>
      <c r="R123" s="23">
        <f t="shared" ref="R123:R124" si="50">G123+K123+L123</f>
        <v>5000</v>
      </c>
      <c r="S123" s="25">
        <f>R123*7</f>
        <v>35000</v>
      </c>
      <c r="T123" s="53"/>
    </row>
    <row r="124" spans="1:20" x14ac:dyDescent="0.25">
      <c r="A124" s="20" t="s">
        <v>199</v>
      </c>
      <c r="B124" s="21" t="s">
        <v>104</v>
      </c>
      <c r="C124" s="22">
        <v>0.25</v>
      </c>
      <c r="D124" s="22">
        <v>10</v>
      </c>
      <c r="E124" s="23">
        <f>5815*C124</f>
        <v>1453.75</v>
      </c>
      <c r="F124" s="22">
        <f t="shared" si="49"/>
        <v>218.0625</v>
      </c>
      <c r="G124" s="23">
        <f t="shared" si="21"/>
        <v>1671.8125</v>
      </c>
      <c r="H124" s="23"/>
      <c r="I124" s="23"/>
      <c r="J124" s="23"/>
      <c r="K124" s="23">
        <f t="shared" ref="K124:K125" si="51">G124*0.3</f>
        <v>501.54374999999999</v>
      </c>
      <c r="L124" s="23">
        <f>20000*C124-G124-K124</f>
        <v>2826.6437500000002</v>
      </c>
      <c r="M124" s="23"/>
      <c r="N124" s="23"/>
      <c r="O124" s="23"/>
      <c r="P124" s="23"/>
      <c r="Q124" s="23"/>
      <c r="R124" s="23">
        <f t="shared" si="50"/>
        <v>5000</v>
      </c>
      <c r="S124" s="25">
        <f t="shared" ref="S124:S126" si="52">R124*7</f>
        <v>35000</v>
      </c>
      <c r="T124" s="53"/>
    </row>
    <row r="125" spans="1:20" x14ac:dyDescent="0.25">
      <c r="A125" s="20" t="s">
        <v>200</v>
      </c>
      <c r="B125" s="21" t="s">
        <v>130</v>
      </c>
      <c r="C125" s="22">
        <v>4</v>
      </c>
      <c r="D125" s="22">
        <v>9</v>
      </c>
      <c r="E125" s="23">
        <f>5527*C125</f>
        <v>22108</v>
      </c>
      <c r="F125" s="22">
        <f t="shared" si="49"/>
        <v>3316.2</v>
      </c>
      <c r="G125" s="23">
        <f t="shared" si="21"/>
        <v>25424.2</v>
      </c>
      <c r="H125" s="23"/>
      <c r="I125" s="23">
        <f t="shared" ref="I125:I126" si="53">G125*0.1</f>
        <v>2542.42</v>
      </c>
      <c r="J125" s="23"/>
      <c r="K125" s="23">
        <f t="shared" si="51"/>
        <v>7627.26</v>
      </c>
      <c r="L125" s="23">
        <f>13500*C125-G125-K125-I125-N125</f>
        <v>15816.520000000002</v>
      </c>
      <c r="M125" s="23"/>
      <c r="N125" s="23">
        <f>647.4*C125</f>
        <v>2589.6</v>
      </c>
      <c r="O125" s="23"/>
      <c r="P125" s="23"/>
      <c r="Q125" s="23"/>
      <c r="R125" s="23">
        <f>G125+K125+L125+I125+N125</f>
        <v>54000</v>
      </c>
      <c r="S125" s="25">
        <f t="shared" si="52"/>
        <v>378000</v>
      </c>
      <c r="T125" s="53"/>
    </row>
    <row r="126" spans="1:20" s="13" customFormat="1" x14ac:dyDescent="0.2">
      <c r="A126" s="28" t="s">
        <v>202</v>
      </c>
      <c r="B126" s="21" t="s">
        <v>134</v>
      </c>
      <c r="C126" s="22">
        <v>2.5</v>
      </c>
      <c r="D126" s="22">
        <v>4</v>
      </c>
      <c r="E126" s="23">
        <f>4058*C126</f>
        <v>10145</v>
      </c>
      <c r="F126" s="22">
        <f t="shared" si="49"/>
        <v>1521.75</v>
      </c>
      <c r="G126" s="23">
        <f t="shared" si="21"/>
        <v>11666.75</v>
      </c>
      <c r="H126" s="23"/>
      <c r="I126" s="23">
        <f t="shared" si="53"/>
        <v>1166.675</v>
      </c>
      <c r="J126" s="23"/>
      <c r="K126" s="23"/>
      <c r="L126" s="23"/>
      <c r="M126" s="23"/>
      <c r="N126" s="23">
        <f>475.33*C126</f>
        <v>1188.325</v>
      </c>
      <c r="O126" s="23"/>
      <c r="P126" s="23">
        <f>8000*C126-E126</f>
        <v>9855</v>
      </c>
      <c r="Q126" s="23"/>
      <c r="R126" s="23">
        <f>G126+I126+P126+N126</f>
        <v>23876.75</v>
      </c>
      <c r="S126" s="25">
        <f t="shared" si="52"/>
        <v>167137.25</v>
      </c>
      <c r="T126" s="52"/>
    </row>
    <row r="127" spans="1:20" s="27" customFormat="1" ht="21.6" customHeight="1" thickBot="1" x14ac:dyDescent="0.3">
      <c r="A127" s="64"/>
      <c r="B127" s="117" t="s">
        <v>59</v>
      </c>
      <c r="C127" s="34">
        <f>SUM(C123:C126)</f>
        <v>7</v>
      </c>
      <c r="D127" s="34"/>
      <c r="E127" s="35">
        <f>SUM(E123:E126)</f>
        <v>35160.5</v>
      </c>
      <c r="F127" s="34">
        <f>SUM(F123:F126)</f>
        <v>5274.0749999999998</v>
      </c>
      <c r="G127" s="35">
        <f>SUM(G123:G126)</f>
        <v>40434.574999999997</v>
      </c>
      <c r="H127" s="35"/>
      <c r="I127" s="35">
        <f>SUM(I123:I126)</f>
        <v>3709.0950000000003</v>
      </c>
      <c r="J127" s="35"/>
      <c r="K127" s="35">
        <f>SUM(K123:K126)</f>
        <v>8630.3474999999999</v>
      </c>
      <c r="L127" s="35">
        <f>SUM(L123:L126)</f>
        <v>21469.807500000003</v>
      </c>
      <c r="M127" s="35"/>
      <c r="N127" s="35">
        <f>SUM(N123:N126)</f>
        <v>3777.9250000000002</v>
      </c>
      <c r="O127" s="35"/>
      <c r="P127" s="35">
        <f>SUM(P123:P126)</f>
        <v>9855</v>
      </c>
      <c r="Q127" s="35"/>
      <c r="R127" s="35">
        <f>SUM(R123:R126)</f>
        <v>87876.75</v>
      </c>
      <c r="S127" s="36">
        <f>SUM(S123:S126)</f>
        <v>615137.25</v>
      </c>
      <c r="T127" s="54"/>
    </row>
    <row r="128" spans="1:20" s="56" customFormat="1" ht="27" customHeight="1" x14ac:dyDescent="0.25">
      <c r="A128" s="15"/>
      <c r="B128" s="86" t="s">
        <v>201</v>
      </c>
      <c r="C128" s="85"/>
      <c r="D128" s="85"/>
      <c r="E128" s="94"/>
      <c r="F128" s="85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110"/>
      <c r="T128" s="58"/>
    </row>
    <row r="129" spans="1:20" s="13" customFormat="1" x14ac:dyDescent="0.25">
      <c r="A129" s="20" t="s">
        <v>203</v>
      </c>
      <c r="B129" s="59" t="s">
        <v>100</v>
      </c>
      <c r="C129" s="22">
        <v>1</v>
      </c>
      <c r="D129" s="22">
        <v>13</v>
      </c>
      <c r="E129" s="23">
        <v>7253</v>
      </c>
      <c r="F129" s="22">
        <f>E129*0.2</f>
        <v>1450.6000000000001</v>
      </c>
      <c r="G129" s="23">
        <f t="shared" ref="G129:G130" si="54">E129+F129</f>
        <v>8703.6</v>
      </c>
      <c r="H129" s="23"/>
      <c r="I129" s="23"/>
      <c r="J129" s="23"/>
      <c r="K129" s="23">
        <f t="shared" ref="K129:K130" si="55">G129*0.3</f>
        <v>2611.08</v>
      </c>
      <c r="L129" s="23">
        <f t="shared" ref="L129" si="56">20000-G129-K129</f>
        <v>8685.32</v>
      </c>
      <c r="M129" s="23"/>
      <c r="N129" s="23"/>
      <c r="O129" s="23"/>
      <c r="P129" s="23"/>
      <c r="Q129" s="23"/>
      <c r="R129" s="23">
        <f>G129+K129+L129+O129</f>
        <v>20000</v>
      </c>
      <c r="S129" s="25">
        <f>R129*7</f>
        <v>140000</v>
      </c>
      <c r="T129" s="52"/>
    </row>
    <row r="130" spans="1:20" s="38" customFormat="1" x14ac:dyDescent="0.25">
      <c r="A130" s="57" t="s">
        <v>205</v>
      </c>
      <c r="B130" s="21" t="s">
        <v>128</v>
      </c>
      <c r="C130" s="22">
        <v>1</v>
      </c>
      <c r="D130" s="22">
        <v>10</v>
      </c>
      <c r="E130" s="23">
        <v>5815</v>
      </c>
      <c r="F130" s="22">
        <f>E130*0.1</f>
        <v>581.5</v>
      </c>
      <c r="G130" s="23">
        <f t="shared" si="54"/>
        <v>6396.5</v>
      </c>
      <c r="H130" s="23"/>
      <c r="I130" s="23"/>
      <c r="J130" s="23"/>
      <c r="K130" s="23">
        <f t="shared" si="55"/>
        <v>1918.9499999999998</v>
      </c>
      <c r="L130" s="23">
        <f>13500-G130-K130</f>
        <v>5184.55</v>
      </c>
      <c r="M130" s="23"/>
      <c r="N130" s="23"/>
      <c r="O130" s="23"/>
      <c r="P130" s="23"/>
      <c r="Q130" s="23"/>
      <c r="R130" s="23">
        <f>G130+K130+L130</f>
        <v>13500</v>
      </c>
      <c r="S130" s="25">
        <f>R130*7</f>
        <v>94500</v>
      </c>
      <c r="T130" s="46"/>
    </row>
    <row r="131" spans="1:20" x14ac:dyDescent="0.25">
      <c r="A131" s="28"/>
      <c r="B131" s="50"/>
      <c r="C131" s="60"/>
      <c r="D131" s="60"/>
      <c r="E131" s="61"/>
      <c r="F131" s="60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2"/>
      <c r="T131" s="53"/>
    </row>
    <row r="132" spans="1:20" ht="21" customHeight="1" x14ac:dyDescent="0.25">
      <c r="A132" s="20"/>
      <c r="B132" s="63" t="s">
        <v>204</v>
      </c>
      <c r="C132" s="29"/>
      <c r="D132" s="29"/>
      <c r="E132" s="30"/>
      <c r="F132" s="29"/>
      <c r="G132" s="23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1"/>
      <c r="T132" s="53"/>
    </row>
    <row r="133" spans="1:20" ht="11.4" customHeight="1" x14ac:dyDescent="0.25">
      <c r="A133" s="20" t="s">
        <v>207</v>
      </c>
      <c r="B133" s="21" t="s">
        <v>206</v>
      </c>
      <c r="C133" s="22">
        <v>4.5</v>
      </c>
      <c r="D133" s="22">
        <v>14</v>
      </c>
      <c r="E133" s="23">
        <f>7732*C133</f>
        <v>34794</v>
      </c>
      <c r="F133" s="22"/>
      <c r="G133" s="23">
        <f t="shared" ref="G133:G139" si="57">E133+F133</f>
        <v>34794</v>
      </c>
      <c r="H133" s="23"/>
      <c r="I133" s="23"/>
      <c r="J133" s="23"/>
      <c r="K133" s="23">
        <f t="shared" ref="K133" si="58">G133*0.3</f>
        <v>10438.199999999999</v>
      </c>
      <c r="L133" s="23">
        <f>20000*C133-G133-K133</f>
        <v>44767.8</v>
      </c>
      <c r="M133" s="23"/>
      <c r="N133" s="23"/>
      <c r="O133" s="23"/>
      <c r="P133" s="23"/>
      <c r="Q133" s="23"/>
      <c r="R133" s="23">
        <f>G133+K133+L133+O133</f>
        <v>90000</v>
      </c>
      <c r="S133" s="25">
        <f>R133*7</f>
        <v>630000</v>
      </c>
    </row>
    <row r="134" spans="1:20" x14ac:dyDescent="0.25">
      <c r="A134" s="20" t="s">
        <v>209</v>
      </c>
      <c r="B134" s="21" t="s">
        <v>208</v>
      </c>
      <c r="C134" s="22">
        <v>1</v>
      </c>
      <c r="D134" s="22">
        <v>13</v>
      </c>
      <c r="E134" s="23">
        <v>7523</v>
      </c>
      <c r="F134" s="22"/>
      <c r="G134" s="23">
        <f t="shared" si="57"/>
        <v>7523</v>
      </c>
      <c r="H134" s="23"/>
      <c r="I134" s="23"/>
      <c r="J134" s="23"/>
      <c r="K134" s="23">
        <f>G134*0.3</f>
        <v>2256.9</v>
      </c>
      <c r="L134" s="23">
        <f>20000-G134-K134</f>
        <v>10220.1</v>
      </c>
      <c r="M134" s="23"/>
      <c r="N134" s="23"/>
      <c r="O134" s="23"/>
      <c r="P134" s="23"/>
      <c r="Q134" s="23"/>
      <c r="R134" s="23">
        <f>G134+K134+L134+O134</f>
        <v>20000</v>
      </c>
      <c r="S134" s="25">
        <f t="shared" ref="S134:S139" si="59">R134*7</f>
        <v>140000</v>
      </c>
    </row>
    <row r="135" spans="1:20" s="13" customFormat="1" x14ac:dyDescent="0.25">
      <c r="A135" s="20" t="s">
        <v>210</v>
      </c>
      <c r="B135" s="21" t="s">
        <v>112</v>
      </c>
      <c r="C135" s="22">
        <v>1</v>
      </c>
      <c r="D135" s="22">
        <v>12</v>
      </c>
      <c r="E135" s="23">
        <v>6773</v>
      </c>
      <c r="F135" s="22"/>
      <c r="G135" s="23">
        <f t="shared" si="57"/>
        <v>6773</v>
      </c>
      <c r="H135" s="23"/>
      <c r="I135" s="23"/>
      <c r="J135" s="23"/>
      <c r="K135" s="23">
        <f t="shared" ref="K135:K137" si="60">G135*0.3</f>
        <v>2031.8999999999999</v>
      </c>
      <c r="L135" s="23">
        <f t="shared" ref="L135" si="61">20000-G135-K135</f>
        <v>11195.1</v>
      </c>
      <c r="M135" s="23"/>
      <c r="N135" s="23"/>
      <c r="O135" s="23"/>
      <c r="P135" s="23"/>
      <c r="Q135" s="23"/>
      <c r="R135" s="23">
        <f>G135+K135+L135+O135</f>
        <v>20000</v>
      </c>
      <c r="S135" s="25">
        <f t="shared" si="59"/>
        <v>140000</v>
      </c>
    </row>
    <row r="136" spans="1:20" x14ac:dyDescent="0.25">
      <c r="A136" s="20" t="s">
        <v>213</v>
      </c>
      <c r="B136" s="21" t="s">
        <v>211</v>
      </c>
      <c r="C136" s="22">
        <v>5</v>
      </c>
      <c r="D136" s="22">
        <v>10</v>
      </c>
      <c r="E136" s="23">
        <f>5815*C136</f>
        <v>29075</v>
      </c>
      <c r="F136" s="22"/>
      <c r="G136" s="23">
        <f t="shared" si="57"/>
        <v>29075</v>
      </c>
      <c r="H136" s="23"/>
      <c r="I136" s="23">
        <f>G136*0.1</f>
        <v>2907.5</v>
      </c>
      <c r="J136" s="23"/>
      <c r="K136" s="23">
        <f t="shared" si="60"/>
        <v>8722.5</v>
      </c>
      <c r="L136" s="23">
        <f>13500*C136-G136-I136-K136</f>
        <v>26795</v>
      </c>
      <c r="M136" s="23"/>
      <c r="N136" s="23"/>
      <c r="O136" s="23"/>
      <c r="P136" s="23"/>
      <c r="Q136" s="23"/>
      <c r="R136" s="23">
        <f>G136+I136+K136+L136</f>
        <v>67500</v>
      </c>
      <c r="S136" s="25">
        <f t="shared" si="59"/>
        <v>472500</v>
      </c>
      <c r="T136" s="53"/>
    </row>
    <row r="137" spans="1:20" s="13" customFormat="1" x14ac:dyDescent="0.25">
      <c r="A137" s="20" t="s">
        <v>214</v>
      </c>
      <c r="B137" s="21" t="s">
        <v>91</v>
      </c>
      <c r="C137" s="22">
        <v>1</v>
      </c>
      <c r="D137" s="22">
        <v>10</v>
      </c>
      <c r="E137" s="23">
        <v>5815</v>
      </c>
      <c r="F137" s="22"/>
      <c r="G137" s="23">
        <f t="shared" si="57"/>
        <v>5815</v>
      </c>
      <c r="H137" s="23"/>
      <c r="I137" s="23"/>
      <c r="J137" s="23"/>
      <c r="K137" s="23">
        <f t="shared" si="60"/>
        <v>1744.5</v>
      </c>
      <c r="L137" s="23">
        <f t="shared" ref="L137:L138" si="62">13500-G137-K137</f>
        <v>5940.5</v>
      </c>
      <c r="M137" s="23"/>
      <c r="N137" s="23"/>
      <c r="O137" s="23"/>
      <c r="P137" s="23"/>
      <c r="Q137" s="23"/>
      <c r="R137" s="23">
        <f t="shared" ref="R137:R138" si="63">G137+K137+L137</f>
        <v>13500</v>
      </c>
      <c r="S137" s="25">
        <f t="shared" si="59"/>
        <v>94500</v>
      </c>
    </row>
    <row r="138" spans="1:20" x14ac:dyDescent="0.25">
      <c r="A138" s="20" t="s">
        <v>216</v>
      </c>
      <c r="B138" s="21" t="s">
        <v>215</v>
      </c>
      <c r="C138" s="22">
        <v>1</v>
      </c>
      <c r="D138" s="22">
        <v>10</v>
      </c>
      <c r="E138" s="23">
        <v>5815</v>
      </c>
      <c r="F138" s="22"/>
      <c r="G138" s="23">
        <f t="shared" si="57"/>
        <v>5815</v>
      </c>
      <c r="H138" s="23"/>
      <c r="I138" s="23"/>
      <c r="J138" s="23"/>
      <c r="K138" s="23">
        <f>G138*0.3</f>
        <v>1744.5</v>
      </c>
      <c r="L138" s="23">
        <f t="shared" si="62"/>
        <v>5940.5</v>
      </c>
      <c r="M138" s="23"/>
      <c r="N138" s="23"/>
      <c r="O138" s="23"/>
      <c r="P138" s="23"/>
      <c r="Q138" s="23"/>
      <c r="R138" s="23">
        <f t="shared" si="63"/>
        <v>13500</v>
      </c>
      <c r="S138" s="25">
        <f t="shared" si="59"/>
        <v>94500</v>
      </c>
    </row>
    <row r="139" spans="1:20" x14ac:dyDescent="0.25">
      <c r="A139" s="20" t="s">
        <v>218</v>
      </c>
      <c r="B139" s="21" t="s">
        <v>134</v>
      </c>
      <c r="C139" s="22">
        <v>2</v>
      </c>
      <c r="D139" s="22">
        <v>3</v>
      </c>
      <c r="E139" s="23">
        <f>3770*C139</f>
        <v>7540</v>
      </c>
      <c r="F139" s="22"/>
      <c r="G139" s="23">
        <f t="shared" si="57"/>
        <v>7540</v>
      </c>
      <c r="H139" s="23"/>
      <c r="I139" s="23">
        <f>G139*0.1</f>
        <v>754</v>
      </c>
      <c r="J139" s="23"/>
      <c r="K139" s="23"/>
      <c r="L139" s="23"/>
      <c r="M139" s="23"/>
      <c r="N139" s="23"/>
      <c r="O139" s="23"/>
      <c r="P139" s="23">
        <f>8000*C139-G139</f>
        <v>8460</v>
      </c>
      <c r="Q139" s="23"/>
      <c r="R139" s="23">
        <f>SUM(G139:Q139)</f>
        <v>16754</v>
      </c>
      <c r="S139" s="25">
        <f t="shared" si="59"/>
        <v>117278</v>
      </c>
    </row>
    <row r="140" spans="1:20" s="27" customFormat="1" ht="25.8" customHeight="1" thickBot="1" x14ac:dyDescent="0.3">
      <c r="A140" s="64"/>
      <c r="B140" s="47" t="s">
        <v>59</v>
      </c>
      <c r="C140" s="34">
        <f>SUM(C129:C139)</f>
        <v>17.5</v>
      </c>
      <c r="D140" s="34"/>
      <c r="E140" s="35">
        <f>SUM(E129:E139)</f>
        <v>110403</v>
      </c>
      <c r="F140" s="34">
        <f>SUM(F129:F139)</f>
        <v>2032.1000000000001</v>
      </c>
      <c r="G140" s="35">
        <f>SUM(G129:G139)</f>
        <v>112435.1</v>
      </c>
      <c r="H140" s="35"/>
      <c r="I140" s="35">
        <f>SUM(I129:I139)</f>
        <v>3661.5</v>
      </c>
      <c r="J140" s="35"/>
      <c r="K140" s="35">
        <f>SUM(K129:K139)</f>
        <v>31468.530000000002</v>
      </c>
      <c r="L140" s="35">
        <f>SUM(L129:L139)</f>
        <v>118728.87000000001</v>
      </c>
      <c r="M140" s="35">
        <f>SUM(M139:M139)</f>
        <v>0</v>
      </c>
      <c r="N140" s="35"/>
      <c r="O140" s="35">
        <f>SUM(O134:O139)</f>
        <v>0</v>
      </c>
      <c r="P140" s="35">
        <f>SUM(P139:P139)</f>
        <v>8460</v>
      </c>
      <c r="Q140" s="35"/>
      <c r="R140" s="35">
        <f>SUM(R129:R139)</f>
        <v>274754</v>
      </c>
      <c r="S140" s="36">
        <f>SUM(S129:S139)</f>
        <v>1923278</v>
      </c>
    </row>
    <row r="141" spans="1:20" ht="27.6" customHeight="1" x14ac:dyDescent="0.25">
      <c r="A141" s="15"/>
      <c r="B141" s="55" t="s">
        <v>217</v>
      </c>
      <c r="C141" s="85"/>
      <c r="D141" s="85"/>
      <c r="E141" s="94"/>
      <c r="F141" s="85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110"/>
    </row>
    <row r="142" spans="1:20" x14ac:dyDescent="0.25">
      <c r="A142" s="20" t="s">
        <v>221</v>
      </c>
      <c r="B142" s="21" t="s">
        <v>219</v>
      </c>
      <c r="C142" s="22">
        <v>6</v>
      </c>
      <c r="D142" s="22">
        <v>10</v>
      </c>
      <c r="E142" s="23">
        <f>5815*C142</f>
        <v>34890</v>
      </c>
      <c r="F142" s="22"/>
      <c r="G142" s="23">
        <f t="shared" ref="G142:G143" si="64">E142+F142</f>
        <v>34890</v>
      </c>
      <c r="H142" s="23"/>
      <c r="I142" s="23"/>
      <c r="J142" s="23"/>
      <c r="K142" s="23">
        <f t="shared" ref="K142" si="65">G142*0.3</f>
        <v>10467</v>
      </c>
      <c r="L142" s="23">
        <f>13500*C142-G142-K142-N142</f>
        <v>31556.22</v>
      </c>
      <c r="M142" s="23"/>
      <c r="N142" s="23">
        <f>681.13*C142</f>
        <v>4086.7799999999997</v>
      </c>
      <c r="O142" s="23"/>
      <c r="P142" s="23"/>
      <c r="Q142" s="23"/>
      <c r="R142" s="23">
        <f t="shared" ref="R142" si="66">G142+K142+L142+N142</f>
        <v>81000</v>
      </c>
      <c r="S142" s="25">
        <f>R142*7</f>
        <v>567000</v>
      </c>
    </row>
    <row r="143" spans="1:20" x14ac:dyDescent="0.25">
      <c r="A143" s="20" t="s">
        <v>223</v>
      </c>
      <c r="B143" s="21" t="s">
        <v>78</v>
      </c>
      <c r="C143" s="22">
        <v>5</v>
      </c>
      <c r="D143" s="22">
        <v>4</v>
      </c>
      <c r="E143" s="23">
        <f>4058*C143</f>
        <v>20290</v>
      </c>
      <c r="F143" s="22"/>
      <c r="G143" s="23">
        <f t="shared" si="64"/>
        <v>20290</v>
      </c>
      <c r="H143" s="23"/>
      <c r="I143" s="23"/>
      <c r="J143" s="23"/>
      <c r="K143" s="23"/>
      <c r="L143" s="23"/>
      <c r="M143" s="23"/>
      <c r="N143" s="23">
        <f>475.33*C143</f>
        <v>2376.65</v>
      </c>
      <c r="O143" s="23"/>
      <c r="P143" s="23">
        <f>8000*C143-G143</f>
        <v>19710</v>
      </c>
      <c r="Q143" s="23"/>
      <c r="R143" s="23">
        <f>E143+P143+N143</f>
        <v>42376.65</v>
      </c>
      <c r="S143" s="25">
        <f>R143*7</f>
        <v>296636.55</v>
      </c>
    </row>
    <row r="144" spans="1:20" s="27" customFormat="1" ht="22.2" customHeight="1" thickBot="1" x14ac:dyDescent="0.3">
      <c r="A144" s="64"/>
      <c r="B144" s="47" t="s">
        <v>59</v>
      </c>
      <c r="C144" s="34">
        <f>SUM(C142:C143)</f>
        <v>11</v>
      </c>
      <c r="D144" s="34"/>
      <c r="E144" s="35">
        <f>SUM(E142:E143)</f>
        <v>55180</v>
      </c>
      <c r="F144" s="34"/>
      <c r="G144" s="35">
        <f>SUM(G142:G143)</f>
        <v>55180</v>
      </c>
      <c r="H144" s="35"/>
      <c r="I144" s="35"/>
      <c r="J144" s="35"/>
      <c r="K144" s="35">
        <f>SUM(K142:K143)</f>
        <v>10467</v>
      </c>
      <c r="L144" s="35">
        <f>SUM(L142:L143)</f>
        <v>31556.22</v>
      </c>
      <c r="M144" s="35"/>
      <c r="N144" s="35">
        <f>SUM(N142:N143)</f>
        <v>6463.43</v>
      </c>
      <c r="O144" s="35"/>
      <c r="P144" s="35">
        <f>SUM(P142:P143)</f>
        <v>19710</v>
      </c>
      <c r="Q144" s="35"/>
      <c r="R144" s="35">
        <f>SUM(R142:R143)</f>
        <v>123376.65</v>
      </c>
      <c r="S144" s="36">
        <f>SUM(S142:S143)</f>
        <v>863636.55</v>
      </c>
    </row>
    <row r="145" spans="1:20" ht="29.4" customHeight="1" x14ac:dyDescent="0.25">
      <c r="A145" s="15"/>
      <c r="B145" s="55" t="s">
        <v>222</v>
      </c>
      <c r="C145" s="85"/>
      <c r="D145" s="85"/>
      <c r="E145" s="94"/>
      <c r="F145" s="85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110"/>
    </row>
    <row r="146" spans="1:20" x14ac:dyDescent="0.25">
      <c r="A146" s="20" t="s">
        <v>224</v>
      </c>
      <c r="B146" s="21" t="s">
        <v>206</v>
      </c>
      <c r="C146" s="22">
        <v>1</v>
      </c>
      <c r="D146" s="22">
        <v>12</v>
      </c>
      <c r="E146" s="23">
        <f>6773*C146</f>
        <v>6773</v>
      </c>
      <c r="F146" s="22">
        <f>E146*0.1</f>
        <v>677.30000000000007</v>
      </c>
      <c r="G146" s="23">
        <f t="shared" ref="G146:G151" si="67">E146+F146</f>
        <v>7450.3</v>
      </c>
      <c r="H146" s="23"/>
      <c r="I146" s="23"/>
      <c r="J146" s="23"/>
      <c r="K146" s="23">
        <f>G146*0.3</f>
        <v>2235.09</v>
      </c>
      <c r="L146" s="23">
        <f>20000*C146-G146-K146</f>
        <v>10314.61</v>
      </c>
      <c r="M146" s="23"/>
      <c r="N146" s="23"/>
      <c r="O146" s="23"/>
      <c r="P146" s="23"/>
      <c r="Q146" s="23"/>
      <c r="R146" s="23">
        <f>G146+K146+L146</f>
        <v>20000</v>
      </c>
      <c r="S146" s="25">
        <f>R146*7</f>
        <v>140000</v>
      </c>
    </row>
    <row r="147" spans="1:20" x14ac:dyDescent="0.25">
      <c r="A147" s="20" t="s">
        <v>225</v>
      </c>
      <c r="B147" s="21" t="s">
        <v>91</v>
      </c>
      <c r="C147" s="22">
        <v>1</v>
      </c>
      <c r="D147" s="22">
        <v>7</v>
      </c>
      <c r="E147" s="23">
        <v>4920</v>
      </c>
      <c r="F147" s="22"/>
      <c r="G147" s="23">
        <f t="shared" si="67"/>
        <v>4920</v>
      </c>
      <c r="H147" s="23"/>
      <c r="I147" s="23"/>
      <c r="J147" s="23"/>
      <c r="K147" s="23">
        <f>G147*0.3</f>
        <v>1476</v>
      </c>
      <c r="L147" s="23">
        <f>13500-G147-K147</f>
        <v>7104</v>
      </c>
      <c r="M147" s="23"/>
      <c r="N147" s="23"/>
      <c r="O147" s="23"/>
      <c r="P147" s="23"/>
      <c r="Q147" s="23"/>
      <c r="R147" s="23">
        <f>G147+K147+L147</f>
        <v>13500</v>
      </c>
      <c r="S147" s="25">
        <f t="shared" ref="S147:S148" si="68">R147*7</f>
        <v>94500</v>
      </c>
    </row>
    <row r="148" spans="1:20" x14ac:dyDescent="0.25">
      <c r="A148" s="20" t="s">
        <v>226</v>
      </c>
      <c r="B148" s="21" t="s">
        <v>134</v>
      </c>
      <c r="C148" s="22">
        <v>1</v>
      </c>
      <c r="D148" s="22">
        <v>3</v>
      </c>
      <c r="E148" s="23">
        <v>3770</v>
      </c>
      <c r="F148" s="22"/>
      <c r="G148" s="23">
        <f t="shared" si="67"/>
        <v>3770</v>
      </c>
      <c r="H148" s="23"/>
      <c r="I148" s="23">
        <f>G148*0.1</f>
        <v>377</v>
      </c>
      <c r="J148" s="23"/>
      <c r="K148" s="23"/>
      <c r="L148" s="23"/>
      <c r="M148" s="23"/>
      <c r="N148" s="23"/>
      <c r="O148" s="23"/>
      <c r="P148" s="23">
        <f>8000-G148</f>
        <v>4230</v>
      </c>
      <c r="Q148" s="23"/>
      <c r="R148" s="23">
        <f>SUM(G148:Q148)</f>
        <v>8377</v>
      </c>
      <c r="S148" s="25">
        <f t="shared" si="68"/>
        <v>58639</v>
      </c>
    </row>
    <row r="149" spans="1:20" x14ac:dyDescent="0.25">
      <c r="A149" s="20" t="s">
        <v>228</v>
      </c>
      <c r="B149" s="21" t="s">
        <v>227</v>
      </c>
      <c r="C149" s="22">
        <v>1.75</v>
      </c>
      <c r="D149" s="22">
        <v>1</v>
      </c>
      <c r="E149" s="23">
        <f>3195*C149</f>
        <v>5591.25</v>
      </c>
      <c r="F149" s="22"/>
      <c r="G149" s="23">
        <f t="shared" si="67"/>
        <v>5591.25</v>
      </c>
      <c r="H149" s="23"/>
      <c r="I149" s="23"/>
      <c r="J149" s="23"/>
      <c r="K149" s="23"/>
      <c r="L149" s="23"/>
      <c r="M149" s="23"/>
      <c r="N149" s="23"/>
      <c r="O149" s="23"/>
      <c r="P149" s="23">
        <f>8000*C149-G149</f>
        <v>8408.75</v>
      </c>
      <c r="Q149" s="23"/>
      <c r="R149" s="23">
        <f>SUM(G149:Q149)</f>
        <v>14000</v>
      </c>
      <c r="S149" s="25">
        <f>R149*3</f>
        <v>42000</v>
      </c>
    </row>
    <row r="150" spans="1:20" s="38" customFormat="1" x14ac:dyDescent="0.25">
      <c r="A150" s="20" t="s">
        <v>231</v>
      </c>
      <c r="B150" s="21" t="s">
        <v>229</v>
      </c>
      <c r="C150" s="22">
        <v>0.5</v>
      </c>
      <c r="D150" s="22">
        <v>1</v>
      </c>
      <c r="E150" s="23">
        <v>1597.5</v>
      </c>
      <c r="F150" s="22"/>
      <c r="G150" s="23">
        <f t="shared" si="67"/>
        <v>1597.5</v>
      </c>
      <c r="H150" s="23"/>
      <c r="I150" s="23"/>
      <c r="J150" s="23"/>
      <c r="K150" s="23"/>
      <c r="L150" s="23"/>
      <c r="M150" s="23"/>
      <c r="N150" s="23"/>
      <c r="O150" s="23"/>
      <c r="P150" s="23">
        <f>4000-G150</f>
        <v>2402.5</v>
      </c>
      <c r="Q150" s="23"/>
      <c r="R150" s="23">
        <f>SUM(G150:Q150)</f>
        <v>4000</v>
      </c>
      <c r="S150" s="25">
        <f>R150*7</f>
        <v>28000</v>
      </c>
    </row>
    <row r="151" spans="1:20" s="27" customFormat="1" ht="27" customHeight="1" thickBot="1" x14ac:dyDescent="0.3">
      <c r="A151" s="64"/>
      <c r="B151" s="47" t="s">
        <v>59</v>
      </c>
      <c r="C151" s="34">
        <f>SUM(C146:C150)</f>
        <v>5.25</v>
      </c>
      <c r="D151" s="34"/>
      <c r="E151" s="35">
        <f>SUM(E146:E150)</f>
        <v>22651.75</v>
      </c>
      <c r="F151" s="34">
        <f>SUM(F146:F150)</f>
        <v>677.30000000000007</v>
      </c>
      <c r="G151" s="35">
        <f t="shared" si="67"/>
        <v>23329.05</v>
      </c>
      <c r="H151" s="35"/>
      <c r="I151" s="35">
        <f>SUM(I148:I150)</f>
        <v>377</v>
      </c>
      <c r="J151" s="35"/>
      <c r="K151" s="35">
        <f>SUM(K146:K150)</f>
        <v>3711.09</v>
      </c>
      <c r="L151" s="35">
        <f>SUM(L146:L150)</f>
        <v>17418.61</v>
      </c>
      <c r="M151" s="35"/>
      <c r="N151" s="35"/>
      <c r="O151" s="35"/>
      <c r="P151" s="35">
        <f>SUM(P146:P150)</f>
        <v>15041.25</v>
      </c>
      <c r="Q151" s="35"/>
      <c r="R151" s="35">
        <f>SUM(R146:R150)</f>
        <v>59877</v>
      </c>
      <c r="S151" s="36">
        <f>SUM(S146:S150)</f>
        <v>363139</v>
      </c>
    </row>
    <row r="152" spans="1:20" ht="23.4" customHeight="1" x14ac:dyDescent="0.25">
      <c r="A152" s="15"/>
      <c r="B152" s="55" t="s">
        <v>230</v>
      </c>
      <c r="C152" s="85"/>
      <c r="D152" s="85"/>
      <c r="E152" s="94"/>
      <c r="F152" s="85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110"/>
    </row>
    <row r="153" spans="1:20" x14ac:dyDescent="0.25">
      <c r="A153" s="20" t="s">
        <v>233</v>
      </c>
      <c r="B153" s="21" t="s">
        <v>232</v>
      </c>
      <c r="C153" s="22">
        <v>1.25</v>
      </c>
      <c r="D153" s="22">
        <v>13</v>
      </c>
      <c r="E153" s="23">
        <f>7253*C153</f>
        <v>9066.25</v>
      </c>
      <c r="F153" s="22">
        <f>E153*0.1</f>
        <v>906.625</v>
      </c>
      <c r="G153" s="23">
        <f t="shared" ref="G153:G157" si="69">E153+F153</f>
        <v>9972.875</v>
      </c>
      <c r="H153" s="23"/>
      <c r="I153" s="23"/>
      <c r="J153" s="23"/>
      <c r="K153" s="23">
        <f>G153*0.3</f>
        <v>2991.8624999999997</v>
      </c>
      <c r="L153" s="23">
        <f>20000*C153-G153-K153</f>
        <v>12035.262500000001</v>
      </c>
      <c r="M153" s="23"/>
      <c r="N153" s="23"/>
      <c r="O153" s="23"/>
      <c r="P153" s="23"/>
      <c r="Q153" s="23"/>
      <c r="R153" s="23">
        <f>G153+K153+L153+O153</f>
        <v>25000</v>
      </c>
      <c r="S153" s="25">
        <f>R153*7</f>
        <v>175000</v>
      </c>
    </row>
    <row r="154" spans="1:20" x14ac:dyDescent="0.25">
      <c r="A154" s="20" t="s">
        <v>234</v>
      </c>
      <c r="B154" s="21" t="s">
        <v>212</v>
      </c>
      <c r="C154" s="22">
        <v>2</v>
      </c>
      <c r="D154" s="22">
        <v>10</v>
      </c>
      <c r="E154" s="23">
        <f>5815*C154</f>
        <v>11630</v>
      </c>
      <c r="F154" s="22"/>
      <c r="G154" s="23">
        <f t="shared" si="69"/>
        <v>11630</v>
      </c>
      <c r="H154" s="23"/>
      <c r="I154" s="23"/>
      <c r="J154" s="23"/>
      <c r="K154" s="23">
        <f t="shared" ref="K154:K155" si="70">G154*0.3</f>
        <v>3489</v>
      </c>
      <c r="L154" s="23">
        <f>13500*C154-G154-K154</f>
        <v>11881</v>
      </c>
      <c r="M154" s="23"/>
      <c r="N154" s="23"/>
      <c r="O154" s="23"/>
      <c r="P154" s="23"/>
      <c r="Q154" s="23"/>
      <c r="R154" s="23">
        <f>G154+K154+L154</f>
        <v>27000</v>
      </c>
      <c r="S154" s="25">
        <f t="shared" ref="S154:S156" si="71">R154*7</f>
        <v>189000</v>
      </c>
    </row>
    <row r="155" spans="1:20" s="13" customFormat="1" x14ac:dyDescent="0.25">
      <c r="A155" s="20" t="s">
        <v>236</v>
      </c>
      <c r="B155" s="21" t="s">
        <v>235</v>
      </c>
      <c r="C155" s="22">
        <v>1</v>
      </c>
      <c r="D155" s="22">
        <v>7</v>
      </c>
      <c r="E155" s="23">
        <v>4920</v>
      </c>
      <c r="F155" s="22"/>
      <c r="G155" s="23">
        <f t="shared" si="69"/>
        <v>4920</v>
      </c>
      <c r="H155" s="23"/>
      <c r="I155" s="23"/>
      <c r="J155" s="23"/>
      <c r="K155" s="23">
        <f t="shared" si="70"/>
        <v>1476</v>
      </c>
      <c r="L155" s="23">
        <f>13500-G155-K155</f>
        <v>7104</v>
      </c>
      <c r="M155" s="23"/>
      <c r="N155" s="23"/>
      <c r="O155" s="23"/>
      <c r="P155" s="23"/>
      <c r="Q155" s="23"/>
      <c r="R155" s="23">
        <f>G155+L155+K155</f>
        <v>13500</v>
      </c>
      <c r="S155" s="25">
        <f t="shared" si="71"/>
        <v>94500</v>
      </c>
    </row>
    <row r="156" spans="1:20" s="38" customFormat="1" x14ac:dyDescent="0.25">
      <c r="A156" s="20" t="s">
        <v>238</v>
      </c>
      <c r="B156" s="21" t="s">
        <v>134</v>
      </c>
      <c r="C156" s="22">
        <v>1</v>
      </c>
      <c r="D156" s="22">
        <v>3</v>
      </c>
      <c r="E156" s="23">
        <v>3770</v>
      </c>
      <c r="F156" s="22"/>
      <c r="G156" s="23">
        <f t="shared" si="69"/>
        <v>3770</v>
      </c>
      <c r="H156" s="23"/>
      <c r="I156" s="23">
        <f>G156*0.1</f>
        <v>377</v>
      </c>
      <c r="J156" s="23"/>
      <c r="K156" s="23"/>
      <c r="L156" s="23"/>
      <c r="M156" s="23"/>
      <c r="N156" s="23"/>
      <c r="O156" s="23"/>
      <c r="P156" s="23">
        <f>8000-G156</f>
        <v>4230</v>
      </c>
      <c r="Q156" s="23"/>
      <c r="R156" s="23">
        <f>G156+I156+P156</f>
        <v>8377</v>
      </c>
      <c r="S156" s="25">
        <f t="shared" si="71"/>
        <v>58639</v>
      </c>
      <c r="T156" s="46"/>
    </row>
    <row r="157" spans="1:20" s="27" customFormat="1" ht="27" customHeight="1" thickBot="1" x14ac:dyDescent="0.3">
      <c r="A157" s="64"/>
      <c r="B157" s="47" t="s">
        <v>59</v>
      </c>
      <c r="C157" s="34">
        <f>SUM(C153:C156)</f>
        <v>5.25</v>
      </c>
      <c r="D157" s="34"/>
      <c r="E157" s="35">
        <f>SUM(E153:E156)</f>
        <v>29386.25</v>
      </c>
      <c r="F157" s="34">
        <f>SUM(F153:F156)</f>
        <v>906.625</v>
      </c>
      <c r="G157" s="35">
        <f t="shared" si="69"/>
        <v>30292.875</v>
      </c>
      <c r="H157" s="35"/>
      <c r="I157" s="35">
        <f>SUM(I156)</f>
        <v>377</v>
      </c>
      <c r="J157" s="35"/>
      <c r="K157" s="35">
        <f>SUM(K153:K156)</f>
        <v>7956.8624999999993</v>
      </c>
      <c r="L157" s="35">
        <f>SUM(L153:L156)</f>
        <v>31020.262500000001</v>
      </c>
      <c r="M157" s="35">
        <f>SUM(M153:M155)</f>
        <v>0</v>
      </c>
      <c r="N157" s="35"/>
      <c r="O157" s="35">
        <f>SUM(O153:O156)</f>
        <v>0</v>
      </c>
      <c r="P157" s="35">
        <f>SUM(P156)</f>
        <v>4230</v>
      </c>
      <c r="Q157" s="35"/>
      <c r="R157" s="35">
        <f>SUM(R153:R156)</f>
        <v>73877</v>
      </c>
      <c r="S157" s="36">
        <f>SUM(S153:S156)</f>
        <v>517139</v>
      </c>
    </row>
    <row r="158" spans="1:20" ht="24.6" customHeight="1" x14ac:dyDescent="0.25">
      <c r="A158" s="15"/>
      <c r="B158" s="55" t="s">
        <v>237</v>
      </c>
      <c r="C158" s="85"/>
      <c r="D158" s="85"/>
      <c r="E158" s="94"/>
      <c r="F158" s="85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110"/>
    </row>
    <row r="159" spans="1:20" x14ac:dyDescent="0.25">
      <c r="A159" s="20" t="s">
        <v>239</v>
      </c>
      <c r="B159" s="21" t="s">
        <v>206</v>
      </c>
      <c r="C159" s="22">
        <v>2</v>
      </c>
      <c r="D159" s="22">
        <v>11</v>
      </c>
      <c r="E159" s="23">
        <f>6294*C159</f>
        <v>12588</v>
      </c>
      <c r="F159" s="22">
        <f>E159*0.1</f>
        <v>1258.8000000000002</v>
      </c>
      <c r="G159" s="23">
        <f t="shared" ref="G159:G164" si="72">E159+F159</f>
        <v>13846.8</v>
      </c>
      <c r="H159" s="23"/>
      <c r="I159" s="23"/>
      <c r="J159" s="23"/>
      <c r="K159" s="23">
        <f>G159*0.3</f>
        <v>4154.04</v>
      </c>
      <c r="L159" s="23">
        <f>20000*C159-G159-K159</f>
        <v>21999.16</v>
      </c>
      <c r="M159" s="23"/>
      <c r="N159" s="23"/>
      <c r="O159" s="23"/>
      <c r="P159" s="23"/>
      <c r="Q159" s="23"/>
      <c r="R159" s="23">
        <f>SUM(G159:Q159)</f>
        <v>40000</v>
      </c>
      <c r="S159" s="25">
        <f>R159*7</f>
        <v>280000</v>
      </c>
    </row>
    <row r="160" spans="1:20" x14ac:dyDescent="0.25">
      <c r="A160" s="20" t="s">
        <v>240</v>
      </c>
      <c r="B160" s="21" t="s">
        <v>241</v>
      </c>
      <c r="C160" s="22">
        <v>2</v>
      </c>
      <c r="D160" s="22">
        <v>10</v>
      </c>
      <c r="E160" s="23">
        <f>5815*C160</f>
        <v>11630</v>
      </c>
      <c r="F160" s="22"/>
      <c r="G160" s="23">
        <f t="shared" si="72"/>
        <v>11630</v>
      </c>
      <c r="H160" s="23"/>
      <c r="I160" s="23"/>
      <c r="J160" s="23"/>
      <c r="K160" s="23">
        <f t="shared" ref="K160:K161" si="73">G160*0.3</f>
        <v>3489</v>
      </c>
      <c r="L160" s="23">
        <f>13500*C160-G160-K160</f>
        <v>11881</v>
      </c>
      <c r="M160" s="23"/>
      <c r="N160" s="23"/>
      <c r="O160" s="23"/>
      <c r="P160" s="23"/>
      <c r="Q160" s="23"/>
      <c r="R160" s="23">
        <f>G160+K160+L160</f>
        <v>27000</v>
      </c>
      <c r="S160" s="25">
        <f t="shared" ref="S160:S163" si="74">R160*7</f>
        <v>189000</v>
      </c>
    </row>
    <row r="161" spans="1:20" s="13" customFormat="1" x14ac:dyDescent="0.25">
      <c r="A161" s="20" t="s">
        <v>242</v>
      </c>
      <c r="B161" s="21" t="s">
        <v>91</v>
      </c>
      <c r="C161" s="22">
        <v>2</v>
      </c>
      <c r="D161" s="22">
        <v>9</v>
      </c>
      <c r="E161" s="23">
        <f>5527*C161</f>
        <v>11054</v>
      </c>
      <c r="F161" s="22"/>
      <c r="G161" s="23">
        <f t="shared" si="72"/>
        <v>11054</v>
      </c>
      <c r="H161" s="23"/>
      <c r="I161" s="23"/>
      <c r="J161" s="23"/>
      <c r="K161" s="23">
        <f t="shared" si="73"/>
        <v>3316.2</v>
      </c>
      <c r="L161" s="23">
        <f>13500*C161-G161-K161</f>
        <v>12629.8</v>
      </c>
      <c r="M161" s="23"/>
      <c r="N161" s="23"/>
      <c r="O161" s="23"/>
      <c r="P161" s="23"/>
      <c r="Q161" s="23"/>
      <c r="R161" s="23">
        <f>G161+K161+L161</f>
        <v>27000</v>
      </c>
      <c r="S161" s="25">
        <f t="shared" si="74"/>
        <v>189000</v>
      </c>
    </row>
    <row r="162" spans="1:20" x14ac:dyDescent="0.25">
      <c r="A162" s="20" t="s">
        <v>243</v>
      </c>
      <c r="B162" s="21" t="s">
        <v>134</v>
      </c>
      <c r="C162" s="22">
        <v>1</v>
      </c>
      <c r="D162" s="22">
        <v>3</v>
      </c>
      <c r="E162" s="23">
        <v>3770</v>
      </c>
      <c r="F162" s="22"/>
      <c r="G162" s="23">
        <f t="shared" si="72"/>
        <v>3770</v>
      </c>
      <c r="H162" s="23"/>
      <c r="I162" s="23">
        <f>G162*0.1</f>
        <v>377</v>
      </c>
      <c r="J162" s="23"/>
      <c r="K162" s="23"/>
      <c r="L162" s="23"/>
      <c r="M162" s="23"/>
      <c r="N162" s="23"/>
      <c r="O162" s="23"/>
      <c r="P162" s="23">
        <f>8000-G162</f>
        <v>4230</v>
      </c>
      <c r="Q162" s="23"/>
      <c r="R162" s="23">
        <f>SUM(G162:Q162)</f>
        <v>8377</v>
      </c>
      <c r="S162" s="25">
        <f t="shared" si="74"/>
        <v>58639</v>
      </c>
    </row>
    <row r="163" spans="1:20" s="38" customFormat="1" x14ac:dyDescent="0.25">
      <c r="A163" s="20" t="s">
        <v>244</v>
      </c>
      <c r="B163" s="21" t="s">
        <v>245</v>
      </c>
      <c r="C163" s="22">
        <v>1</v>
      </c>
      <c r="D163" s="22">
        <v>5</v>
      </c>
      <c r="E163" s="23">
        <v>4345</v>
      </c>
      <c r="F163" s="22"/>
      <c r="G163" s="23">
        <f t="shared" si="72"/>
        <v>4345</v>
      </c>
      <c r="H163" s="23"/>
      <c r="I163" s="23"/>
      <c r="J163" s="23"/>
      <c r="K163" s="23"/>
      <c r="L163" s="23"/>
      <c r="M163" s="23"/>
      <c r="N163" s="23"/>
      <c r="O163" s="23"/>
      <c r="P163" s="23">
        <f>8000-G163</f>
        <v>3655</v>
      </c>
      <c r="Q163" s="23"/>
      <c r="R163" s="23">
        <f>G163+P163</f>
        <v>8000</v>
      </c>
      <c r="S163" s="25">
        <f t="shared" si="74"/>
        <v>56000</v>
      </c>
    </row>
    <row r="164" spans="1:20" s="27" customFormat="1" ht="24.6" customHeight="1" thickBot="1" x14ac:dyDescent="0.3">
      <c r="A164" s="64"/>
      <c r="B164" s="47" t="s">
        <v>59</v>
      </c>
      <c r="C164" s="34">
        <f>SUM(C159:C163)</f>
        <v>8</v>
      </c>
      <c r="D164" s="34"/>
      <c r="E164" s="35">
        <f>SUM(E159:E163)</f>
        <v>43387</v>
      </c>
      <c r="F164" s="34">
        <f>SUM(F159:F163)</f>
        <v>1258.8000000000002</v>
      </c>
      <c r="G164" s="35">
        <f t="shared" si="72"/>
        <v>44645.8</v>
      </c>
      <c r="H164" s="35"/>
      <c r="I164" s="35">
        <f>SUM(I162:I163)</f>
        <v>377</v>
      </c>
      <c r="J164" s="35"/>
      <c r="K164" s="35">
        <f>SUM(K159:K163)</f>
        <v>10959.24</v>
      </c>
      <c r="L164" s="35">
        <f>SUM(L159:L163)</f>
        <v>46509.960000000006</v>
      </c>
      <c r="M164" s="35">
        <f>M159</f>
        <v>0</v>
      </c>
      <c r="N164" s="35"/>
      <c r="O164" s="35">
        <f>SUM(O159:O163)</f>
        <v>0</v>
      </c>
      <c r="P164" s="35">
        <f>SUM(P162:P163)</f>
        <v>7885</v>
      </c>
      <c r="Q164" s="35"/>
      <c r="R164" s="35">
        <f>SUM(R159:R163)</f>
        <v>110377</v>
      </c>
      <c r="S164" s="36">
        <f>SUM(S159:S163)</f>
        <v>772639</v>
      </c>
    </row>
    <row r="165" spans="1:20" s="13" customFormat="1" ht="25.8" customHeight="1" x14ac:dyDescent="0.2">
      <c r="A165" s="18"/>
      <c r="B165" s="55" t="s">
        <v>246</v>
      </c>
      <c r="C165" s="85"/>
      <c r="D165" s="85"/>
      <c r="E165" s="94"/>
      <c r="F165" s="85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110"/>
    </row>
    <row r="166" spans="1:20" x14ac:dyDescent="0.25">
      <c r="A166" s="20" t="s">
        <v>247</v>
      </c>
      <c r="B166" s="21" t="s">
        <v>232</v>
      </c>
      <c r="C166" s="22">
        <v>1.25</v>
      </c>
      <c r="D166" s="22">
        <v>11</v>
      </c>
      <c r="E166" s="23">
        <f>6294*C166</f>
        <v>7867.5</v>
      </c>
      <c r="F166" s="22">
        <f>E166*0.1</f>
        <v>786.75</v>
      </c>
      <c r="G166" s="23">
        <f t="shared" ref="G166:G169" si="75">E166+F166</f>
        <v>8654.25</v>
      </c>
      <c r="H166" s="23"/>
      <c r="I166" s="23"/>
      <c r="J166" s="23"/>
      <c r="K166" s="23">
        <f>G166*0.3</f>
        <v>2596.2750000000001</v>
      </c>
      <c r="L166" s="23">
        <f>20000*C166-G166-K166</f>
        <v>13749.475</v>
      </c>
      <c r="M166" s="23"/>
      <c r="N166" s="23"/>
      <c r="O166" s="23"/>
      <c r="P166" s="23"/>
      <c r="Q166" s="23"/>
      <c r="R166" s="23">
        <f>G166+K166+L166+O166</f>
        <v>25000</v>
      </c>
      <c r="S166" s="25">
        <f>R166*7</f>
        <v>175000</v>
      </c>
      <c r="T166" s="53"/>
    </row>
    <row r="167" spans="1:20" x14ac:dyDescent="0.25">
      <c r="A167" s="20" t="s">
        <v>248</v>
      </c>
      <c r="B167" s="21" t="s">
        <v>235</v>
      </c>
      <c r="C167" s="22">
        <v>1</v>
      </c>
      <c r="D167" s="22">
        <v>10</v>
      </c>
      <c r="E167" s="23">
        <v>5815</v>
      </c>
      <c r="F167" s="22"/>
      <c r="G167" s="23">
        <f t="shared" si="75"/>
        <v>5815</v>
      </c>
      <c r="H167" s="23"/>
      <c r="I167" s="23"/>
      <c r="J167" s="23"/>
      <c r="K167" s="23">
        <f t="shared" ref="K167:K168" si="76">G167*0.3</f>
        <v>1744.5</v>
      </c>
      <c r="L167" s="23">
        <f>13500-G167-K167</f>
        <v>5940.5</v>
      </c>
      <c r="M167" s="23"/>
      <c r="N167" s="23"/>
      <c r="O167" s="23"/>
      <c r="P167" s="23"/>
      <c r="Q167" s="23"/>
      <c r="R167" s="23">
        <f>G167+K167+L167</f>
        <v>13500</v>
      </c>
      <c r="S167" s="25">
        <f t="shared" ref="S167:S170" si="77">R167*7</f>
        <v>94500</v>
      </c>
    </row>
    <row r="168" spans="1:20" x14ac:dyDescent="0.25">
      <c r="A168" s="20" t="s">
        <v>249</v>
      </c>
      <c r="B168" s="21" t="s">
        <v>91</v>
      </c>
      <c r="C168" s="22">
        <v>0.5</v>
      </c>
      <c r="D168" s="22">
        <v>10</v>
      </c>
      <c r="E168" s="23">
        <v>2907.5</v>
      </c>
      <c r="F168" s="22"/>
      <c r="G168" s="23">
        <f t="shared" si="75"/>
        <v>2907.5</v>
      </c>
      <c r="H168" s="23"/>
      <c r="I168" s="23"/>
      <c r="J168" s="23"/>
      <c r="K168" s="23">
        <f t="shared" si="76"/>
        <v>872.25</v>
      </c>
      <c r="L168" s="23">
        <f>13500/2-G168-K168</f>
        <v>2970.25</v>
      </c>
      <c r="M168" s="23"/>
      <c r="N168" s="23"/>
      <c r="O168" s="23"/>
      <c r="P168" s="23"/>
      <c r="Q168" s="23"/>
      <c r="R168" s="23">
        <f>G168+K168+L168</f>
        <v>6750</v>
      </c>
      <c r="S168" s="25">
        <f t="shared" si="77"/>
        <v>47250</v>
      </c>
    </row>
    <row r="169" spans="1:20" x14ac:dyDescent="0.25">
      <c r="A169" s="20" t="s">
        <v>250</v>
      </c>
      <c r="B169" s="21" t="s">
        <v>134</v>
      </c>
      <c r="C169" s="22">
        <v>0.5</v>
      </c>
      <c r="D169" s="22">
        <v>3</v>
      </c>
      <c r="E169" s="23">
        <v>1885</v>
      </c>
      <c r="F169" s="22"/>
      <c r="G169" s="23">
        <f t="shared" si="75"/>
        <v>1885</v>
      </c>
      <c r="H169" s="23"/>
      <c r="I169" s="23">
        <f>G169*0.1</f>
        <v>188.5</v>
      </c>
      <c r="J169" s="23"/>
      <c r="K169" s="23"/>
      <c r="L169" s="23"/>
      <c r="M169" s="23"/>
      <c r="N169" s="23"/>
      <c r="O169" s="23"/>
      <c r="P169" s="23">
        <f>8000/2-G169</f>
        <v>2115</v>
      </c>
      <c r="Q169" s="23"/>
      <c r="R169" s="23">
        <f>SUM(G169:Q169)</f>
        <v>4188.5</v>
      </c>
      <c r="S169" s="25">
        <f t="shared" si="77"/>
        <v>29319.5</v>
      </c>
    </row>
    <row r="170" spans="1:20" s="38" customFormat="1" x14ac:dyDescent="0.25">
      <c r="A170" s="20" t="s">
        <v>251</v>
      </c>
      <c r="B170" s="21" t="s">
        <v>229</v>
      </c>
      <c r="C170" s="22">
        <v>0.5</v>
      </c>
      <c r="D170" s="22">
        <v>1</v>
      </c>
      <c r="E170" s="23">
        <v>1597.5</v>
      </c>
      <c r="F170" s="22"/>
      <c r="G170" s="23">
        <f>E170+F170</f>
        <v>1597.5</v>
      </c>
      <c r="H170" s="23"/>
      <c r="I170" s="23"/>
      <c r="J170" s="23"/>
      <c r="K170" s="23"/>
      <c r="L170" s="23"/>
      <c r="M170" s="23"/>
      <c r="N170" s="23"/>
      <c r="O170" s="23"/>
      <c r="P170" s="23">
        <f>8000/2-G170</f>
        <v>2402.5</v>
      </c>
      <c r="Q170" s="23"/>
      <c r="R170" s="23">
        <f t="shared" ref="R170" si="78">SUM(G170:Q170)</f>
        <v>4000</v>
      </c>
      <c r="S170" s="25">
        <f t="shared" si="77"/>
        <v>28000</v>
      </c>
    </row>
    <row r="171" spans="1:20" s="49" customFormat="1" ht="25.8" customHeight="1" thickBot="1" x14ac:dyDescent="0.3">
      <c r="A171" s="64"/>
      <c r="B171" s="47" t="s">
        <v>59</v>
      </c>
      <c r="C171" s="34">
        <f>SUM(C166:C170)</f>
        <v>3.75</v>
      </c>
      <c r="D171" s="34"/>
      <c r="E171" s="35">
        <f>SUM(E166:E170)</f>
        <v>20072.5</v>
      </c>
      <c r="F171" s="34">
        <f>SUM(F166:F170)</f>
        <v>786.75</v>
      </c>
      <c r="G171" s="35">
        <f>SUM(G166:G170)</f>
        <v>20859.25</v>
      </c>
      <c r="H171" s="35"/>
      <c r="I171" s="35">
        <f>SUM(I169:I170)</f>
        <v>188.5</v>
      </c>
      <c r="J171" s="35"/>
      <c r="K171" s="35">
        <f>SUM(K166:K170)</f>
        <v>5213.0249999999996</v>
      </c>
      <c r="L171" s="35">
        <f>SUM(L166:L170)</f>
        <v>22660.224999999999</v>
      </c>
      <c r="M171" s="35"/>
      <c r="N171" s="35"/>
      <c r="O171" s="35">
        <f>SUM(O166:O170)</f>
        <v>0</v>
      </c>
      <c r="P171" s="35">
        <f>SUM(P169:P170)</f>
        <v>4517.5</v>
      </c>
      <c r="Q171" s="35"/>
      <c r="R171" s="35">
        <f>SUM(R166:R170)</f>
        <v>53438.5</v>
      </c>
      <c r="S171" s="36">
        <f>SUM(S166:S170)</f>
        <v>374069.5</v>
      </c>
    </row>
    <row r="172" spans="1:20" s="13" customFormat="1" ht="23.4" customHeight="1" x14ac:dyDescent="0.2">
      <c r="A172" s="18"/>
      <c r="B172" s="55" t="s">
        <v>252</v>
      </c>
      <c r="C172" s="85"/>
      <c r="D172" s="85"/>
      <c r="E172" s="94"/>
      <c r="F172" s="85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110"/>
    </row>
    <row r="173" spans="1:20" s="13" customFormat="1" x14ac:dyDescent="0.25">
      <c r="A173" s="20" t="s">
        <v>253</v>
      </c>
      <c r="B173" s="21" t="s">
        <v>206</v>
      </c>
      <c r="C173" s="22">
        <v>1</v>
      </c>
      <c r="D173" s="22">
        <v>14</v>
      </c>
      <c r="E173" s="23">
        <v>7732</v>
      </c>
      <c r="F173" s="22">
        <f>E173*0.1</f>
        <v>773.2</v>
      </c>
      <c r="G173" s="23">
        <f t="shared" ref="G173:G180" si="79">E173+F173</f>
        <v>8505.2000000000007</v>
      </c>
      <c r="H173" s="23"/>
      <c r="I173" s="23"/>
      <c r="J173" s="23"/>
      <c r="K173" s="23">
        <f>G173*0.3</f>
        <v>2551.56</v>
      </c>
      <c r="L173" s="23">
        <f>20000-G173-K173</f>
        <v>8943.24</v>
      </c>
      <c r="M173" s="23"/>
      <c r="N173" s="23"/>
      <c r="O173" s="23"/>
      <c r="P173" s="23"/>
      <c r="Q173" s="23"/>
      <c r="R173" s="23">
        <f>G173+K173+L173+O173</f>
        <v>20000</v>
      </c>
      <c r="S173" s="25">
        <f>R173*7</f>
        <v>140000</v>
      </c>
    </row>
    <row r="174" spans="1:20" s="13" customFormat="1" x14ac:dyDescent="0.25">
      <c r="A174" s="20" t="s">
        <v>254</v>
      </c>
      <c r="B174" s="21" t="s">
        <v>112</v>
      </c>
      <c r="C174" s="22">
        <v>0.5</v>
      </c>
      <c r="D174" s="22">
        <v>13</v>
      </c>
      <c r="E174" s="23">
        <f>7253*C174</f>
        <v>3626.5</v>
      </c>
      <c r="F174" s="22"/>
      <c r="G174" s="23">
        <f t="shared" si="79"/>
        <v>3626.5</v>
      </c>
      <c r="H174" s="23"/>
      <c r="I174" s="23"/>
      <c r="J174" s="23"/>
      <c r="K174" s="23">
        <f t="shared" ref="K174:K177" si="80">G174*0.3</f>
        <v>1087.95</v>
      </c>
      <c r="L174" s="23">
        <f>20000*C174-G174-K174</f>
        <v>5285.55</v>
      </c>
      <c r="M174" s="23"/>
      <c r="N174" s="23"/>
      <c r="O174" s="23"/>
      <c r="P174" s="23"/>
      <c r="Q174" s="23"/>
      <c r="R174" s="23">
        <f>G174+K174+L174+O174</f>
        <v>10000</v>
      </c>
      <c r="S174" s="25">
        <f t="shared" ref="S174:S179" si="81">R174*7</f>
        <v>70000</v>
      </c>
    </row>
    <row r="175" spans="1:20" x14ac:dyDescent="0.25">
      <c r="A175" s="20" t="s">
        <v>255</v>
      </c>
      <c r="B175" s="21" t="s">
        <v>171</v>
      </c>
      <c r="C175" s="22">
        <v>1</v>
      </c>
      <c r="D175" s="22">
        <v>11</v>
      </c>
      <c r="E175" s="23">
        <v>6294</v>
      </c>
      <c r="F175" s="22"/>
      <c r="G175" s="23">
        <f t="shared" si="79"/>
        <v>6294</v>
      </c>
      <c r="H175" s="23"/>
      <c r="I175" s="23"/>
      <c r="J175" s="23"/>
      <c r="K175" s="23">
        <f t="shared" si="80"/>
        <v>1888.1999999999998</v>
      </c>
      <c r="L175" s="23">
        <f>20000-G175-K175</f>
        <v>11817.8</v>
      </c>
      <c r="M175" s="23"/>
      <c r="N175" s="23"/>
      <c r="O175" s="23"/>
      <c r="P175" s="23"/>
      <c r="Q175" s="23"/>
      <c r="R175" s="23">
        <f>G175+K175+L175+O175</f>
        <v>20000</v>
      </c>
      <c r="S175" s="25">
        <f t="shared" si="81"/>
        <v>140000</v>
      </c>
    </row>
    <row r="176" spans="1:20" x14ac:dyDescent="0.25">
      <c r="A176" s="20" t="s">
        <v>256</v>
      </c>
      <c r="B176" s="21" t="s">
        <v>212</v>
      </c>
      <c r="C176" s="22">
        <v>1</v>
      </c>
      <c r="D176" s="22">
        <v>10</v>
      </c>
      <c r="E176" s="23">
        <v>5815</v>
      </c>
      <c r="F176" s="22"/>
      <c r="G176" s="23">
        <f t="shared" si="79"/>
        <v>5815</v>
      </c>
      <c r="H176" s="23"/>
      <c r="I176" s="23"/>
      <c r="J176" s="23"/>
      <c r="K176" s="23">
        <f t="shared" si="80"/>
        <v>1744.5</v>
      </c>
      <c r="L176" s="23">
        <f>13500-G176-K176</f>
        <v>5940.5</v>
      </c>
      <c r="M176" s="23"/>
      <c r="N176" s="23"/>
      <c r="O176" s="23"/>
      <c r="P176" s="23"/>
      <c r="Q176" s="23"/>
      <c r="R176" s="23">
        <f>G176+K176+L176</f>
        <v>13500</v>
      </c>
      <c r="S176" s="25">
        <f t="shared" si="81"/>
        <v>94500</v>
      </c>
    </row>
    <row r="177" spans="1:20" x14ac:dyDescent="0.25">
      <c r="A177" s="20" t="s">
        <v>257</v>
      </c>
      <c r="B177" s="21" t="s">
        <v>235</v>
      </c>
      <c r="C177" s="22">
        <v>2</v>
      </c>
      <c r="D177" s="22">
        <v>10</v>
      </c>
      <c r="E177" s="23">
        <f>5815*C177</f>
        <v>11630</v>
      </c>
      <c r="F177" s="22"/>
      <c r="G177" s="23">
        <f t="shared" si="79"/>
        <v>11630</v>
      </c>
      <c r="H177" s="23"/>
      <c r="I177" s="23"/>
      <c r="J177" s="23"/>
      <c r="K177" s="23">
        <f t="shared" si="80"/>
        <v>3489</v>
      </c>
      <c r="L177" s="23">
        <f>13500*C177-G177-K177</f>
        <v>11881</v>
      </c>
      <c r="M177" s="23"/>
      <c r="N177" s="23"/>
      <c r="O177" s="23"/>
      <c r="P177" s="23"/>
      <c r="Q177" s="23"/>
      <c r="R177" s="23">
        <f t="shared" ref="R177" si="82">G177+K177+L177</f>
        <v>27000</v>
      </c>
      <c r="S177" s="25">
        <f t="shared" si="81"/>
        <v>189000</v>
      </c>
    </row>
    <row r="178" spans="1:20" x14ac:dyDescent="0.25">
      <c r="A178" s="20" t="s">
        <v>258</v>
      </c>
      <c r="B178" s="21" t="s">
        <v>134</v>
      </c>
      <c r="C178" s="22">
        <v>1</v>
      </c>
      <c r="D178" s="22">
        <v>3</v>
      </c>
      <c r="E178" s="23">
        <v>3770</v>
      </c>
      <c r="F178" s="22"/>
      <c r="G178" s="23">
        <f t="shared" si="79"/>
        <v>3770</v>
      </c>
      <c r="H178" s="23"/>
      <c r="I178" s="23">
        <f>G178*0.1</f>
        <v>377</v>
      </c>
      <c r="J178" s="23"/>
      <c r="K178" s="23"/>
      <c r="L178" s="23"/>
      <c r="M178" s="23"/>
      <c r="N178" s="23"/>
      <c r="O178" s="23"/>
      <c r="P178" s="23">
        <f>8000-G178</f>
        <v>4230</v>
      </c>
      <c r="Q178" s="23"/>
      <c r="R178" s="23">
        <f>G178+I178+P178</f>
        <v>8377</v>
      </c>
      <c r="S178" s="25">
        <f t="shared" si="81"/>
        <v>58639</v>
      </c>
      <c r="T178" s="53"/>
    </row>
    <row r="179" spans="1:20" s="38" customFormat="1" x14ac:dyDescent="0.25">
      <c r="A179" s="20" t="s">
        <v>260</v>
      </c>
      <c r="B179" s="21" t="s">
        <v>245</v>
      </c>
      <c r="C179" s="22">
        <v>0.5</v>
      </c>
      <c r="D179" s="22">
        <v>5</v>
      </c>
      <c r="E179" s="23">
        <v>2172.5</v>
      </c>
      <c r="F179" s="22"/>
      <c r="G179" s="23">
        <f t="shared" si="79"/>
        <v>2172.5</v>
      </c>
      <c r="H179" s="23"/>
      <c r="I179" s="23"/>
      <c r="J179" s="23"/>
      <c r="K179" s="23"/>
      <c r="L179" s="23"/>
      <c r="M179" s="23"/>
      <c r="N179" s="23"/>
      <c r="O179" s="23"/>
      <c r="P179" s="23">
        <f>8000/2-G179</f>
        <v>1827.5</v>
      </c>
      <c r="Q179" s="23"/>
      <c r="R179" s="23">
        <f>SUM(G179:Q179)</f>
        <v>4000</v>
      </c>
      <c r="S179" s="25">
        <f t="shared" si="81"/>
        <v>28000</v>
      </c>
    </row>
    <row r="180" spans="1:20" s="49" customFormat="1" ht="45" customHeight="1" thickBot="1" x14ac:dyDescent="0.3">
      <c r="A180" s="64"/>
      <c r="B180" s="47" t="s">
        <v>59</v>
      </c>
      <c r="C180" s="34">
        <f>SUM(C173:C179)</f>
        <v>7</v>
      </c>
      <c r="D180" s="34"/>
      <c r="E180" s="35">
        <f>SUM(E173:E179)</f>
        <v>41040</v>
      </c>
      <c r="F180" s="34">
        <f>SUM(F173:F179)</f>
        <v>773.2</v>
      </c>
      <c r="G180" s="35">
        <f t="shared" si="79"/>
        <v>41813.199999999997</v>
      </c>
      <c r="H180" s="35"/>
      <c r="I180" s="35">
        <f>SUM(I178:I179)</f>
        <v>377</v>
      </c>
      <c r="J180" s="35"/>
      <c r="K180" s="35">
        <f>SUM(K173:K179)</f>
        <v>10761.21</v>
      </c>
      <c r="L180" s="35">
        <f>SUM(L173:L179)</f>
        <v>43868.09</v>
      </c>
      <c r="M180" s="35"/>
      <c r="N180" s="35"/>
      <c r="O180" s="35">
        <f>SUM(O173:O179)</f>
        <v>0</v>
      </c>
      <c r="P180" s="35">
        <f>SUM(P173:P179)</f>
        <v>6057.5</v>
      </c>
      <c r="Q180" s="35"/>
      <c r="R180" s="35">
        <f>SUM(R173:R179)</f>
        <v>102877</v>
      </c>
      <c r="S180" s="36">
        <f>SUM(S173:S179)</f>
        <v>720139</v>
      </c>
    </row>
    <row r="181" spans="1:20" s="13" customFormat="1" ht="22.8" customHeight="1" x14ac:dyDescent="0.2">
      <c r="A181" s="18"/>
      <c r="B181" s="55" t="s">
        <v>259</v>
      </c>
      <c r="C181" s="85"/>
      <c r="D181" s="85"/>
      <c r="E181" s="94"/>
      <c r="F181" s="85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110"/>
    </row>
    <row r="182" spans="1:20" s="13" customFormat="1" x14ac:dyDescent="0.25">
      <c r="A182" s="20" t="s">
        <v>261</v>
      </c>
      <c r="B182" s="21" t="s">
        <v>206</v>
      </c>
      <c r="C182" s="22">
        <v>1</v>
      </c>
      <c r="D182" s="22">
        <v>14</v>
      </c>
      <c r="E182" s="23">
        <f>7732*C182</f>
        <v>7732</v>
      </c>
      <c r="F182" s="22">
        <f>E182*0.1</f>
        <v>773.2</v>
      </c>
      <c r="G182" s="23">
        <f t="shared" ref="G182:G185" si="83">E182+F182</f>
        <v>8505.2000000000007</v>
      </c>
      <c r="H182" s="23"/>
      <c r="I182" s="23"/>
      <c r="J182" s="23"/>
      <c r="K182" s="23"/>
      <c r="L182" s="23">
        <f>20000*C182-G182</f>
        <v>11494.8</v>
      </c>
      <c r="M182" s="23"/>
      <c r="N182" s="23"/>
      <c r="O182" s="23"/>
      <c r="P182" s="23"/>
      <c r="Q182" s="23"/>
      <c r="R182" s="23">
        <f>SUM(G182:Q182)</f>
        <v>20000</v>
      </c>
      <c r="S182" s="25">
        <f>R182*7</f>
        <v>140000</v>
      </c>
    </row>
    <row r="183" spans="1:20" x14ac:dyDescent="0.25">
      <c r="A183" s="20" t="s">
        <v>262</v>
      </c>
      <c r="B183" s="21" t="s">
        <v>235</v>
      </c>
      <c r="C183" s="22">
        <v>1</v>
      </c>
      <c r="D183" s="22">
        <v>10</v>
      </c>
      <c r="E183" s="23">
        <v>5815</v>
      </c>
      <c r="F183" s="22"/>
      <c r="G183" s="23">
        <f t="shared" si="83"/>
        <v>5815</v>
      </c>
      <c r="H183" s="23"/>
      <c r="I183" s="23"/>
      <c r="J183" s="23"/>
      <c r="K183" s="23">
        <f>G183*0.3</f>
        <v>1744.5</v>
      </c>
      <c r="L183" s="23">
        <f>13500-G183-K183</f>
        <v>5940.5</v>
      </c>
      <c r="M183" s="23"/>
      <c r="N183" s="23"/>
      <c r="O183" s="23"/>
      <c r="P183" s="23"/>
      <c r="Q183" s="23"/>
      <c r="R183" s="23">
        <f>G183+K183+L183</f>
        <v>13500</v>
      </c>
      <c r="S183" s="25">
        <f t="shared" ref="S183:S184" si="84">R183*7</f>
        <v>94500</v>
      </c>
      <c r="T183" s="53"/>
    </row>
    <row r="184" spans="1:20" s="38" customFormat="1" x14ac:dyDescent="0.25">
      <c r="A184" s="20" t="s">
        <v>264</v>
      </c>
      <c r="B184" s="21" t="s">
        <v>134</v>
      </c>
      <c r="C184" s="22">
        <v>1</v>
      </c>
      <c r="D184" s="22">
        <v>3</v>
      </c>
      <c r="E184" s="23">
        <v>3770</v>
      </c>
      <c r="F184" s="22"/>
      <c r="G184" s="23">
        <f t="shared" si="83"/>
        <v>3770</v>
      </c>
      <c r="H184" s="23"/>
      <c r="I184" s="23">
        <f>G184*0.1</f>
        <v>377</v>
      </c>
      <c r="J184" s="23"/>
      <c r="K184" s="23"/>
      <c r="L184" s="23"/>
      <c r="M184" s="23"/>
      <c r="N184" s="23"/>
      <c r="O184" s="23"/>
      <c r="P184" s="23">
        <f>8000-G184</f>
        <v>4230</v>
      </c>
      <c r="Q184" s="23"/>
      <c r="R184" s="23">
        <f>G184+I184+P184</f>
        <v>8377</v>
      </c>
      <c r="S184" s="25">
        <f t="shared" si="84"/>
        <v>58639</v>
      </c>
    </row>
    <row r="185" spans="1:20" s="49" customFormat="1" ht="23.4" customHeight="1" thickBot="1" x14ac:dyDescent="0.3">
      <c r="A185" s="64"/>
      <c r="B185" s="47" t="s">
        <v>59</v>
      </c>
      <c r="C185" s="34">
        <f>SUM(C182:C184)</f>
        <v>3</v>
      </c>
      <c r="D185" s="34"/>
      <c r="E185" s="35">
        <f>SUM(E182:E184)</f>
        <v>17317</v>
      </c>
      <c r="F185" s="34">
        <f>SUM(F182:F184)</f>
        <v>773.2</v>
      </c>
      <c r="G185" s="35">
        <f t="shared" si="83"/>
        <v>18090.2</v>
      </c>
      <c r="H185" s="35"/>
      <c r="I185" s="35">
        <f>SUM(I184)</f>
        <v>377</v>
      </c>
      <c r="J185" s="35"/>
      <c r="K185" s="35">
        <f>K183</f>
        <v>1744.5</v>
      </c>
      <c r="L185" s="35">
        <f>L182+L183</f>
        <v>17435.3</v>
      </c>
      <c r="M185" s="35">
        <f>M182</f>
        <v>0</v>
      </c>
      <c r="N185" s="35"/>
      <c r="O185" s="35"/>
      <c r="P185" s="35">
        <f>SUM(P184)</f>
        <v>4230</v>
      </c>
      <c r="Q185" s="35"/>
      <c r="R185" s="35">
        <f>SUM(R182:R184)</f>
        <v>41877</v>
      </c>
      <c r="S185" s="36">
        <f>SUM(S182:S184)</f>
        <v>293139</v>
      </c>
    </row>
    <row r="186" spans="1:20" ht="21" customHeight="1" x14ac:dyDescent="0.25">
      <c r="A186" s="15"/>
      <c r="B186" s="55" t="s">
        <v>312</v>
      </c>
      <c r="C186" s="85"/>
      <c r="D186" s="85"/>
      <c r="E186" s="94"/>
      <c r="F186" s="85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110"/>
    </row>
    <row r="187" spans="1:20" ht="24.6" customHeight="1" x14ac:dyDescent="0.25">
      <c r="A187" s="20"/>
      <c r="B187" s="44" t="s">
        <v>263</v>
      </c>
      <c r="C187" s="22"/>
      <c r="D187" s="22"/>
      <c r="E187" s="23"/>
      <c r="F187" s="22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5"/>
    </row>
    <row r="188" spans="1:20" x14ac:dyDescent="0.25">
      <c r="A188" s="20" t="s">
        <v>264</v>
      </c>
      <c r="B188" s="21" t="s">
        <v>220</v>
      </c>
      <c r="C188" s="22">
        <v>0.5</v>
      </c>
      <c r="D188" s="22">
        <v>10</v>
      </c>
      <c r="E188" s="23">
        <v>2907.5</v>
      </c>
      <c r="F188" s="22"/>
      <c r="G188" s="23">
        <f t="shared" ref="G188:G191" si="85">E188+F188</f>
        <v>2907.5</v>
      </c>
      <c r="H188" s="23"/>
      <c r="I188" s="23"/>
      <c r="J188" s="23"/>
      <c r="K188" s="23">
        <f>G188*0.3</f>
        <v>872.25</v>
      </c>
      <c r="L188" s="23">
        <f>R188-K188-G188</f>
        <v>2970.25</v>
      </c>
      <c r="M188" s="23"/>
      <c r="N188" s="23"/>
      <c r="O188" s="23"/>
      <c r="P188" s="23"/>
      <c r="Q188" s="23"/>
      <c r="R188" s="23">
        <v>6750</v>
      </c>
      <c r="S188" s="25">
        <f>R188*7</f>
        <v>47250</v>
      </c>
    </row>
    <row r="189" spans="1:20" x14ac:dyDescent="0.25">
      <c r="A189" s="20" t="s">
        <v>265</v>
      </c>
      <c r="B189" s="21" t="s">
        <v>134</v>
      </c>
      <c r="C189" s="22">
        <v>0.25</v>
      </c>
      <c r="D189" s="22">
        <v>3</v>
      </c>
      <c r="E189" s="23">
        <v>942.5</v>
      </c>
      <c r="F189" s="22"/>
      <c r="G189" s="23">
        <f t="shared" si="85"/>
        <v>942.5</v>
      </c>
      <c r="H189" s="23"/>
      <c r="I189" s="23">
        <f>G189*0.1</f>
        <v>94.25</v>
      </c>
      <c r="J189" s="23"/>
      <c r="K189" s="23"/>
      <c r="L189" s="23"/>
      <c r="M189" s="23"/>
      <c r="N189" s="23"/>
      <c r="O189" s="23"/>
      <c r="P189" s="23">
        <f>8000*0.25-G189</f>
        <v>1057.5</v>
      </c>
      <c r="Q189" s="23"/>
      <c r="R189" s="23">
        <f>E189+I189+P189</f>
        <v>2094.25</v>
      </c>
      <c r="S189" s="25">
        <f>R189*7</f>
        <v>14659.75</v>
      </c>
    </row>
    <row r="190" spans="1:20" s="38" customFormat="1" x14ac:dyDescent="0.25">
      <c r="A190" s="20" t="s">
        <v>266</v>
      </c>
      <c r="B190" s="21" t="s">
        <v>267</v>
      </c>
      <c r="C190" s="22">
        <v>0.25</v>
      </c>
      <c r="D190" s="22">
        <v>1</v>
      </c>
      <c r="E190" s="23">
        <v>798.75</v>
      </c>
      <c r="F190" s="22"/>
      <c r="G190" s="23">
        <f t="shared" si="85"/>
        <v>798.75</v>
      </c>
      <c r="H190" s="23"/>
      <c r="I190" s="23"/>
      <c r="J190" s="23"/>
      <c r="K190" s="23"/>
      <c r="L190" s="23"/>
      <c r="M190" s="23"/>
      <c r="N190" s="23"/>
      <c r="O190" s="23"/>
      <c r="P190" s="23">
        <f>8000*0.25-G190</f>
        <v>1201.25</v>
      </c>
      <c r="Q190" s="23"/>
      <c r="R190" s="23">
        <f>E190+P190</f>
        <v>2000</v>
      </c>
      <c r="S190" s="25">
        <f>R190*3</f>
        <v>6000</v>
      </c>
    </row>
    <row r="191" spans="1:20" s="27" customFormat="1" ht="24" customHeight="1" thickBot="1" x14ac:dyDescent="0.3">
      <c r="A191" s="112"/>
      <c r="B191" s="113" t="s">
        <v>59</v>
      </c>
      <c r="C191" s="114">
        <f>C188+C189+C190</f>
        <v>1</v>
      </c>
      <c r="D191" s="114"/>
      <c r="E191" s="115">
        <f>E188+E189+E190</f>
        <v>4648.75</v>
      </c>
      <c r="F191" s="114"/>
      <c r="G191" s="115">
        <f t="shared" si="85"/>
        <v>4648.75</v>
      </c>
      <c r="H191" s="115"/>
      <c r="I191" s="115">
        <f>SUM(I189)</f>
        <v>94.25</v>
      </c>
      <c r="J191" s="115"/>
      <c r="K191" s="115">
        <f>SUM(K188:K189)</f>
        <v>872.25</v>
      </c>
      <c r="L191" s="115">
        <f>SUM(L188:L189)</f>
        <v>2970.25</v>
      </c>
      <c r="M191" s="115"/>
      <c r="N191" s="115"/>
      <c r="O191" s="115"/>
      <c r="P191" s="115">
        <f>P189+P190</f>
        <v>2258.75</v>
      </c>
      <c r="Q191" s="115"/>
      <c r="R191" s="115">
        <f>SUM(R188:R190)</f>
        <v>10844.25</v>
      </c>
      <c r="S191" s="116">
        <f>SUM(S188:S190)</f>
        <v>67909.75</v>
      </c>
    </row>
    <row r="192" spans="1:20" s="13" customFormat="1" ht="20.399999999999999" customHeight="1" x14ac:dyDescent="0.2">
      <c r="A192" s="18"/>
      <c r="B192" s="55" t="s">
        <v>268</v>
      </c>
      <c r="C192" s="85"/>
      <c r="D192" s="85"/>
      <c r="E192" s="94"/>
      <c r="F192" s="85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110"/>
    </row>
    <row r="193" spans="1:20" x14ac:dyDescent="0.25">
      <c r="A193" s="20" t="s">
        <v>269</v>
      </c>
      <c r="B193" s="21" t="s">
        <v>220</v>
      </c>
      <c r="C193" s="22">
        <v>0.5</v>
      </c>
      <c r="D193" s="22">
        <v>9</v>
      </c>
      <c r="E193" s="23">
        <v>2763.5</v>
      </c>
      <c r="F193" s="22"/>
      <c r="G193" s="23">
        <f t="shared" ref="G193:G196" si="86">E193+F193</f>
        <v>2763.5</v>
      </c>
      <c r="H193" s="23"/>
      <c r="I193" s="23"/>
      <c r="J193" s="23"/>
      <c r="K193" s="23">
        <f>G193*0.3</f>
        <v>829.05</v>
      </c>
      <c r="L193" s="23">
        <f>6750-G193-K193</f>
        <v>3157.45</v>
      </c>
      <c r="M193" s="23"/>
      <c r="N193" s="23"/>
      <c r="O193" s="23"/>
      <c r="P193" s="23"/>
      <c r="Q193" s="23"/>
      <c r="R193" s="23">
        <f>G193+K193+L193</f>
        <v>6750</v>
      </c>
      <c r="S193" s="25">
        <f>R193*7</f>
        <v>47250</v>
      </c>
    </row>
    <row r="194" spans="1:20" x14ac:dyDescent="0.25">
      <c r="A194" s="20" t="s">
        <v>270</v>
      </c>
      <c r="B194" s="21" t="s">
        <v>134</v>
      </c>
      <c r="C194" s="22">
        <v>0.25</v>
      </c>
      <c r="D194" s="22">
        <v>3</v>
      </c>
      <c r="E194" s="23">
        <v>942.5</v>
      </c>
      <c r="F194" s="22"/>
      <c r="G194" s="23">
        <f t="shared" si="86"/>
        <v>942.5</v>
      </c>
      <c r="H194" s="23"/>
      <c r="I194" s="23">
        <f>G194*0.1</f>
        <v>94.25</v>
      </c>
      <c r="J194" s="23"/>
      <c r="K194" s="23"/>
      <c r="L194" s="23"/>
      <c r="M194" s="23"/>
      <c r="N194" s="23"/>
      <c r="O194" s="23"/>
      <c r="P194" s="23">
        <f>8000*0.25-G194</f>
        <v>1057.5</v>
      </c>
      <c r="Q194" s="23"/>
      <c r="R194" s="23">
        <f>E194+I194+P194</f>
        <v>2094.25</v>
      </c>
      <c r="S194" s="25">
        <f>R194*7</f>
        <v>14659.75</v>
      </c>
    </row>
    <row r="195" spans="1:20" s="38" customFormat="1" x14ac:dyDescent="0.25">
      <c r="A195" s="20" t="s">
        <v>271</v>
      </c>
      <c r="B195" s="21" t="s">
        <v>227</v>
      </c>
      <c r="C195" s="22">
        <v>0.5</v>
      </c>
      <c r="D195" s="22">
        <v>1</v>
      </c>
      <c r="E195" s="23">
        <v>1597.5</v>
      </c>
      <c r="F195" s="22"/>
      <c r="G195" s="23">
        <f t="shared" si="86"/>
        <v>1597.5</v>
      </c>
      <c r="H195" s="23"/>
      <c r="I195" s="23"/>
      <c r="J195" s="23"/>
      <c r="K195" s="23"/>
      <c r="L195" s="23"/>
      <c r="M195" s="23"/>
      <c r="N195" s="23"/>
      <c r="O195" s="23"/>
      <c r="P195" s="23">
        <f>8000/2-G195</f>
        <v>2402.5</v>
      </c>
      <c r="Q195" s="23"/>
      <c r="R195" s="23">
        <f>E195+P195</f>
        <v>4000</v>
      </c>
      <c r="S195" s="25">
        <f>R195*3</f>
        <v>12000</v>
      </c>
    </row>
    <row r="196" spans="1:20" s="27" customFormat="1" ht="27.6" customHeight="1" thickBot="1" x14ac:dyDescent="0.3">
      <c r="A196" s="64"/>
      <c r="B196" s="47" t="s">
        <v>59</v>
      </c>
      <c r="C196" s="34">
        <f>C193+C194+C195</f>
        <v>1.25</v>
      </c>
      <c r="D196" s="34"/>
      <c r="E196" s="35">
        <f>E193+E194+E195</f>
        <v>5303.5</v>
      </c>
      <c r="F196" s="34"/>
      <c r="G196" s="35">
        <f t="shared" si="86"/>
        <v>5303.5</v>
      </c>
      <c r="H196" s="35"/>
      <c r="I196" s="35">
        <f>SUM(I193:I194)</f>
        <v>94.25</v>
      </c>
      <c r="J196" s="35"/>
      <c r="K196" s="35">
        <f>SUM(K193:K195)</f>
        <v>829.05</v>
      </c>
      <c r="L196" s="35">
        <f>SUM(L192:L194)</f>
        <v>3157.45</v>
      </c>
      <c r="M196" s="35"/>
      <c r="N196" s="35"/>
      <c r="O196" s="35"/>
      <c r="P196" s="35">
        <f>P194+P195</f>
        <v>3460</v>
      </c>
      <c r="Q196" s="35"/>
      <c r="R196" s="35">
        <f>SUM(R193:R195)</f>
        <v>12844.25</v>
      </c>
      <c r="S196" s="36">
        <f>SUM(S193:S195)</f>
        <v>73909.75</v>
      </c>
    </row>
    <row r="197" spans="1:20" ht="22.8" customHeight="1" x14ac:dyDescent="0.25">
      <c r="A197" s="57"/>
      <c r="B197" s="111" t="s">
        <v>272</v>
      </c>
      <c r="C197" s="91"/>
      <c r="D197" s="91"/>
      <c r="E197" s="51"/>
      <c r="F197" s="9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97"/>
      <c r="T197" s="65"/>
    </row>
    <row r="198" spans="1:20" x14ac:dyDescent="0.25">
      <c r="A198" s="20" t="s">
        <v>273</v>
      </c>
      <c r="B198" s="21" t="s">
        <v>130</v>
      </c>
      <c r="C198" s="22">
        <v>1</v>
      </c>
      <c r="D198" s="22">
        <v>10</v>
      </c>
      <c r="E198" s="23">
        <v>5815</v>
      </c>
      <c r="F198" s="22"/>
      <c r="G198" s="23">
        <f t="shared" ref="G198:G201" si="87">E198+F198</f>
        <v>5815</v>
      </c>
      <c r="H198" s="23"/>
      <c r="I198" s="23"/>
      <c r="J198" s="23"/>
      <c r="K198" s="23">
        <f>G198*0.3</f>
        <v>1744.5</v>
      </c>
      <c r="L198" s="23">
        <f>13500-G198-K198</f>
        <v>5940.5</v>
      </c>
      <c r="M198" s="23"/>
      <c r="N198" s="23"/>
      <c r="O198" s="23"/>
      <c r="P198" s="23"/>
      <c r="Q198" s="23"/>
      <c r="R198" s="23">
        <f>G198+K198+L198</f>
        <v>13500</v>
      </c>
      <c r="S198" s="25">
        <f>R198*7</f>
        <v>94500</v>
      </c>
    </row>
    <row r="199" spans="1:20" x14ac:dyDescent="0.25">
      <c r="A199" s="20" t="s">
        <v>274</v>
      </c>
      <c r="B199" s="21" t="s">
        <v>134</v>
      </c>
      <c r="C199" s="22">
        <v>0.25</v>
      </c>
      <c r="D199" s="22">
        <v>3</v>
      </c>
      <c r="E199" s="23">
        <v>942.5</v>
      </c>
      <c r="F199" s="22"/>
      <c r="G199" s="23">
        <f t="shared" si="87"/>
        <v>942.5</v>
      </c>
      <c r="H199" s="23"/>
      <c r="I199" s="23">
        <f>G199*0.1</f>
        <v>94.25</v>
      </c>
      <c r="J199" s="23"/>
      <c r="K199" s="23"/>
      <c r="L199" s="23"/>
      <c r="M199" s="23"/>
      <c r="N199" s="23"/>
      <c r="O199" s="23"/>
      <c r="P199" s="23">
        <f>8000*0.25-G199</f>
        <v>1057.5</v>
      </c>
      <c r="Q199" s="23"/>
      <c r="R199" s="23">
        <f>E199+I199+P199</f>
        <v>2094.25</v>
      </c>
      <c r="S199" s="25">
        <f>R199*7</f>
        <v>14659.75</v>
      </c>
    </row>
    <row r="200" spans="1:20" s="38" customFormat="1" x14ac:dyDescent="0.25">
      <c r="A200" s="20" t="s">
        <v>275</v>
      </c>
      <c r="B200" s="21" t="s">
        <v>267</v>
      </c>
      <c r="C200" s="22">
        <v>0.25</v>
      </c>
      <c r="D200" s="22">
        <v>1</v>
      </c>
      <c r="E200" s="23">
        <v>798.75</v>
      </c>
      <c r="F200" s="22"/>
      <c r="G200" s="23">
        <f t="shared" si="87"/>
        <v>798.75</v>
      </c>
      <c r="H200" s="23"/>
      <c r="I200" s="23"/>
      <c r="J200" s="23"/>
      <c r="K200" s="23"/>
      <c r="L200" s="23"/>
      <c r="M200" s="23"/>
      <c r="N200" s="23"/>
      <c r="O200" s="23"/>
      <c r="P200" s="23">
        <f>8000*0.25-G200</f>
        <v>1201.25</v>
      </c>
      <c r="Q200" s="23"/>
      <c r="R200" s="23">
        <f>E200+P200</f>
        <v>2000</v>
      </c>
      <c r="S200" s="25">
        <f>R200*3</f>
        <v>6000</v>
      </c>
    </row>
    <row r="201" spans="1:20" s="27" customFormat="1" ht="26.4" customHeight="1" thickBot="1" x14ac:dyDescent="0.3">
      <c r="A201" s="64"/>
      <c r="B201" s="47" t="s">
        <v>59</v>
      </c>
      <c r="C201" s="34">
        <f>SUM(C198:C200)</f>
        <v>1.5</v>
      </c>
      <c r="D201" s="34"/>
      <c r="E201" s="35">
        <f>SUM(E198:E200)</f>
        <v>7556.25</v>
      </c>
      <c r="F201" s="34">
        <f>SUM(F198:F200)</f>
        <v>0</v>
      </c>
      <c r="G201" s="35">
        <f t="shared" si="87"/>
        <v>7556.25</v>
      </c>
      <c r="H201" s="35"/>
      <c r="I201" s="35">
        <f>SUM(I199:I200)</f>
        <v>94.25</v>
      </c>
      <c r="J201" s="35"/>
      <c r="K201" s="35">
        <f>SUM(K198:K200)</f>
        <v>1744.5</v>
      </c>
      <c r="L201" s="35">
        <f>SUM(L198:L200)</f>
        <v>5940.5</v>
      </c>
      <c r="M201" s="35"/>
      <c r="N201" s="35"/>
      <c r="O201" s="35"/>
      <c r="P201" s="35">
        <f>P199+P200</f>
        <v>2258.75</v>
      </c>
      <c r="Q201" s="35"/>
      <c r="R201" s="35">
        <f>SUM(R198:R200)</f>
        <v>17594.25</v>
      </c>
      <c r="S201" s="36">
        <f>SUM(S198:S200)</f>
        <v>115159.75</v>
      </c>
    </row>
    <row r="202" spans="1:20" ht="22.2" customHeight="1" x14ac:dyDescent="0.25">
      <c r="A202" s="15"/>
      <c r="B202" s="55" t="s">
        <v>276</v>
      </c>
      <c r="C202" s="85"/>
      <c r="D202" s="85"/>
      <c r="E202" s="94"/>
      <c r="F202" s="85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110"/>
    </row>
    <row r="203" spans="1:20" x14ac:dyDescent="0.25">
      <c r="A203" s="20" t="s">
        <v>277</v>
      </c>
      <c r="B203" s="21" t="s">
        <v>220</v>
      </c>
      <c r="C203" s="22">
        <v>1</v>
      </c>
      <c r="D203" s="22">
        <v>10</v>
      </c>
      <c r="E203" s="23">
        <v>5815</v>
      </c>
      <c r="F203" s="22"/>
      <c r="G203" s="23">
        <f t="shared" ref="G203:G206" si="88">E203+F203</f>
        <v>5815</v>
      </c>
      <c r="H203" s="23"/>
      <c r="I203" s="23"/>
      <c r="J203" s="23"/>
      <c r="K203" s="23">
        <f>G203*0.3</f>
        <v>1744.5</v>
      </c>
      <c r="L203" s="23">
        <f>13500-G203-K203</f>
        <v>5940.5</v>
      </c>
      <c r="M203" s="23"/>
      <c r="N203" s="23"/>
      <c r="O203" s="23"/>
      <c r="P203" s="23"/>
      <c r="Q203" s="23"/>
      <c r="R203" s="23">
        <f>G203+K203+L203</f>
        <v>13500</v>
      </c>
      <c r="S203" s="25">
        <f>R203*7</f>
        <v>94500</v>
      </c>
    </row>
    <row r="204" spans="1:20" x14ac:dyDescent="0.25">
      <c r="A204" s="20" t="s">
        <v>278</v>
      </c>
      <c r="B204" s="21" t="s">
        <v>134</v>
      </c>
      <c r="C204" s="22">
        <v>0.25</v>
      </c>
      <c r="D204" s="22">
        <v>3</v>
      </c>
      <c r="E204" s="23">
        <v>942.5</v>
      </c>
      <c r="F204" s="22"/>
      <c r="G204" s="23">
        <f t="shared" si="88"/>
        <v>942.5</v>
      </c>
      <c r="H204" s="23"/>
      <c r="I204" s="23">
        <f>G204*0.1</f>
        <v>94.25</v>
      </c>
      <c r="J204" s="23"/>
      <c r="K204" s="23"/>
      <c r="L204" s="23"/>
      <c r="M204" s="23"/>
      <c r="N204" s="23"/>
      <c r="O204" s="23"/>
      <c r="P204" s="23">
        <f>8000*0.25-G204</f>
        <v>1057.5</v>
      </c>
      <c r="Q204" s="23"/>
      <c r="R204" s="23">
        <f>E204+I204+P204</f>
        <v>2094.25</v>
      </c>
      <c r="S204" s="25">
        <f>R204*7</f>
        <v>14659.75</v>
      </c>
    </row>
    <row r="205" spans="1:20" s="38" customFormat="1" x14ac:dyDescent="0.25">
      <c r="A205" s="20" t="s">
        <v>279</v>
      </c>
      <c r="B205" s="21" t="s">
        <v>267</v>
      </c>
      <c r="C205" s="22">
        <v>0.25</v>
      </c>
      <c r="D205" s="22">
        <v>1</v>
      </c>
      <c r="E205" s="23">
        <v>798.75</v>
      </c>
      <c r="F205" s="22"/>
      <c r="G205" s="23">
        <f t="shared" si="88"/>
        <v>798.75</v>
      </c>
      <c r="H205" s="23"/>
      <c r="I205" s="23"/>
      <c r="J205" s="23"/>
      <c r="K205" s="23"/>
      <c r="L205" s="23"/>
      <c r="M205" s="23"/>
      <c r="N205" s="23"/>
      <c r="O205" s="23"/>
      <c r="P205" s="23">
        <f>8000*0.25-G205</f>
        <v>1201.25</v>
      </c>
      <c r="Q205" s="23"/>
      <c r="R205" s="23">
        <f>E205+P205</f>
        <v>2000</v>
      </c>
      <c r="S205" s="25">
        <f>R205*3</f>
        <v>6000</v>
      </c>
    </row>
    <row r="206" spans="1:20" s="27" customFormat="1" ht="28.2" customHeight="1" thickBot="1" x14ac:dyDescent="0.3">
      <c r="A206" s="64"/>
      <c r="B206" s="47" t="s">
        <v>59</v>
      </c>
      <c r="C206" s="34">
        <f>SUM(C203:C205)</f>
        <v>1.5</v>
      </c>
      <c r="D206" s="34"/>
      <c r="E206" s="35">
        <f>SUM(E203:E205)</f>
        <v>7556.25</v>
      </c>
      <c r="F206" s="34">
        <f>SUM(F203:F205)</f>
        <v>0</v>
      </c>
      <c r="G206" s="35">
        <f t="shared" si="88"/>
        <v>7556.25</v>
      </c>
      <c r="H206" s="35"/>
      <c r="I206" s="35">
        <f>SUM(I204:I205)</f>
        <v>94.25</v>
      </c>
      <c r="J206" s="35"/>
      <c r="K206" s="35">
        <f>K203</f>
        <v>1744.5</v>
      </c>
      <c r="L206" s="35">
        <f>SUM(L203:L205)</f>
        <v>5940.5</v>
      </c>
      <c r="M206" s="35"/>
      <c r="N206" s="35"/>
      <c r="O206" s="35"/>
      <c r="P206" s="35">
        <f>P204+P205</f>
        <v>2258.75</v>
      </c>
      <c r="Q206" s="35"/>
      <c r="R206" s="35">
        <f>SUM(R203:R205)</f>
        <v>17594.25</v>
      </c>
      <c r="S206" s="36">
        <f>SUM(S203:S205)</f>
        <v>115159.75</v>
      </c>
    </row>
    <row r="207" spans="1:20" ht="24" customHeight="1" x14ac:dyDescent="0.25">
      <c r="A207" s="15"/>
      <c r="B207" s="55" t="s">
        <v>280</v>
      </c>
      <c r="C207" s="85"/>
      <c r="D207" s="85"/>
      <c r="E207" s="94"/>
      <c r="F207" s="85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110"/>
    </row>
    <row r="208" spans="1:20" x14ac:dyDescent="0.25">
      <c r="A208" s="20" t="s">
        <v>281</v>
      </c>
      <c r="B208" s="21" t="s">
        <v>130</v>
      </c>
      <c r="C208" s="22">
        <v>0.5</v>
      </c>
      <c r="D208" s="22">
        <v>8</v>
      </c>
      <c r="E208" s="23">
        <v>2620</v>
      </c>
      <c r="F208" s="22"/>
      <c r="G208" s="23">
        <f t="shared" ref="G208:G210" si="89">E208+F208</f>
        <v>2620</v>
      </c>
      <c r="H208" s="23"/>
      <c r="I208" s="23"/>
      <c r="J208" s="23"/>
      <c r="K208" s="23">
        <f>G208*0.3</f>
        <v>786</v>
      </c>
      <c r="L208" s="23">
        <f>R208-K208-G208</f>
        <v>3344</v>
      </c>
      <c r="M208" s="23"/>
      <c r="N208" s="23"/>
      <c r="O208" s="23"/>
      <c r="P208" s="23"/>
      <c r="Q208" s="23"/>
      <c r="R208" s="23">
        <v>6750</v>
      </c>
      <c r="S208" s="25">
        <f>R208*7</f>
        <v>47250</v>
      </c>
    </row>
    <row r="209" spans="1:20" s="38" customFormat="1" x14ac:dyDescent="0.25">
      <c r="A209" s="20" t="s">
        <v>282</v>
      </c>
      <c r="B209" s="21" t="s">
        <v>134</v>
      </c>
      <c r="C209" s="22">
        <v>0.5</v>
      </c>
      <c r="D209" s="22">
        <v>3</v>
      </c>
      <c r="E209" s="23">
        <v>1885</v>
      </c>
      <c r="F209" s="22"/>
      <c r="G209" s="23">
        <f t="shared" si="89"/>
        <v>1885</v>
      </c>
      <c r="H209" s="23"/>
      <c r="I209" s="23">
        <f>G209*0.1</f>
        <v>188.5</v>
      </c>
      <c r="J209" s="23"/>
      <c r="K209" s="23"/>
      <c r="L209" s="23"/>
      <c r="M209" s="23"/>
      <c r="N209" s="23"/>
      <c r="O209" s="23"/>
      <c r="P209" s="23">
        <f>8000/2-G209</f>
        <v>2115</v>
      </c>
      <c r="Q209" s="23"/>
      <c r="R209" s="23">
        <f>SUM(G209:Q209)</f>
        <v>4188.5</v>
      </c>
      <c r="S209" s="25">
        <f>R209*7</f>
        <v>29319.5</v>
      </c>
    </row>
    <row r="210" spans="1:20" s="27" customFormat="1" ht="25.8" customHeight="1" thickBot="1" x14ac:dyDescent="0.3">
      <c r="A210" s="64"/>
      <c r="B210" s="47" t="s">
        <v>59</v>
      </c>
      <c r="C210" s="34">
        <f>SUM(C208:C209)</f>
        <v>1</v>
      </c>
      <c r="D210" s="34"/>
      <c r="E210" s="35">
        <f>SUM(E208:E209)</f>
        <v>4505</v>
      </c>
      <c r="F210" s="34">
        <f>SUM(F208:F209)</f>
        <v>0</v>
      </c>
      <c r="G210" s="35">
        <f t="shared" si="89"/>
        <v>4505</v>
      </c>
      <c r="H210" s="35"/>
      <c r="I210" s="35">
        <f>SUM(I209)</f>
        <v>188.5</v>
      </c>
      <c r="J210" s="35"/>
      <c r="K210" s="35">
        <f>SUM(K208:K209)</f>
        <v>786</v>
      </c>
      <c r="L210" s="35">
        <f>SUM(L208:L209)</f>
        <v>3344</v>
      </c>
      <c r="M210" s="35"/>
      <c r="N210" s="35"/>
      <c r="O210" s="35"/>
      <c r="P210" s="35">
        <f>SUM(P209)</f>
        <v>2115</v>
      </c>
      <c r="Q210" s="35"/>
      <c r="R210" s="35">
        <f>SUM(R208:R209)</f>
        <v>10938.5</v>
      </c>
      <c r="S210" s="36">
        <f>SUM(S208:S209)</f>
        <v>76569.5</v>
      </c>
    </row>
    <row r="211" spans="1:20" ht="22.2" customHeight="1" x14ac:dyDescent="0.25">
      <c r="A211" s="15"/>
      <c r="B211" s="55" t="s">
        <v>283</v>
      </c>
      <c r="C211" s="85"/>
      <c r="D211" s="85"/>
      <c r="E211" s="94"/>
      <c r="F211" s="85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110"/>
    </row>
    <row r="212" spans="1:20" s="13" customFormat="1" x14ac:dyDescent="0.25">
      <c r="A212" s="20" t="s">
        <v>284</v>
      </c>
      <c r="B212" s="66" t="s">
        <v>130</v>
      </c>
      <c r="C212" s="22">
        <v>0.5</v>
      </c>
      <c r="D212" s="22">
        <v>10</v>
      </c>
      <c r="E212" s="23">
        <v>2907.5</v>
      </c>
      <c r="F212" s="22"/>
      <c r="G212" s="23">
        <f t="shared" ref="G212:G215" si="90">E212+F212</f>
        <v>2907.5</v>
      </c>
      <c r="H212" s="23"/>
      <c r="I212" s="23"/>
      <c r="J212" s="23"/>
      <c r="K212" s="23">
        <f>G212*0.3</f>
        <v>872.25</v>
      </c>
      <c r="L212" s="23">
        <f>13500/2-G212-K212</f>
        <v>2970.25</v>
      </c>
      <c r="M212" s="23"/>
      <c r="N212" s="23"/>
      <c r="O212" s="23"/>
      <c r="P212" s="23"/>
      <c r="Q212" s="23"/>
      <c r="R212" s="23">
        <f>G212+K212+L212</f>
        <v>6750</v>
      </c>
      <c r="S212" s="25">
        <f>R212*7</f>
        <v>47250</v>
      </c>
    </row>
    <row r="213" spans="1:20" x14ac:dyDescent="0.25">
      <c r="A213" s="20" t="s">
        <v>285</v>
      </c>
      <c r="B213" s="21" t="s">
        <v>134</v>
      </c>
      <c r="C213" s="22">
        <v>0.5</v>
      </c>
      <c r="D213" s="22">
        <v>3</v>
      </c>
      <c r="E213" s="23">
        <v>1885</v>
      </c>
      <c r="F213" s="22"/>
      <c r="G213" s="23">
        <f t="shared" si="90"/>
        <v>1885</v>
      </c>
      <c r="H213" s="23"/>
      <c r="I213" s="23">
        <f>G213*0.1</f>
        <v>188.5</v>
      </c>
      <c r="J213" s="23"/>
      <c r="K213" s="23"/>
      <c r="L213" s="23"/>
      <c r="M213" s="23"/>
      <c r="N213" s="23"/>
      <c r="O213" s="23"/>
      <c r="P213" s="23">
        <f>8000/2-G213</f>
        <v>2115</v>
      </c>
      <c r="Q213" s="23"/>
      <c r="R213" s="23">
        <f>SUM(G213:Q213)</f>
        <v>4188.5</v>
      </c>
      <c r="S213" s="25">
        <f>R213*7</f>
        <v>29319.5</v>
      </c>
    </row>
    <row r="214" spans="1:20" x14ac:dyDescent="0.25">
      <c r="A214" s="20" t="s">
        <v>286</v>
      </c>
      <c r="B214" s="21" t="s">
        <v>227</v>
      </c>
      <c r="C214" s="22">
        <v>1</v>
      </c>
      <c r="D214" s="22">
        <v>1</v>
      </c>
      <c r="E214" s="23">
        <v>3195</v>
      </c>
      <c r="F214" s="22"/>
      <c r="G214" s="23">
        <f t="shared" si="90"/>
        <v>3195</v>
      </c>
      <c r="H214" s="23"/>
      <c r="I214" s="23"/>
      <c r="J214" s="23"/>
      <c r="K214" s="23"/>
      <c r="L214" s="23"/>
      <c r="M214" s="23"/>
      <c r="N214" s="23"/>
      <c r="O214" s="23"/>
      <c r="P214" s="23">
        <f>8000-G214</f>
        <v>4805</v>
      </c>
      <c r="Q214" s="23"/>
      <c r="R214" s="23">
        <f>E214+P214</f>
        <v>8000</v>
      </c>
      <c r="S214" s="25">
        <f>R214*3</f>
        <v>24000</v>
      </c>
    </row>
    <row r="215" spans="1:20" s="49" customFormat="1" ht="26.4" customHeight="1" thickBot="1" x14ac:dyDescent="0.3">
      <c r="A215" s="118"/>
      <c r="B215" s="47" t="s">
        <v>59</v>
      </c>
      <c r="C215" s="34">
        <f>SUM(C212:C214)</f>
        <v>2</v>
      </c>
      <c r="D215" s="34"/>
      <c r="E215" s="35">
        <f>SUM(E212:E214)</f>
        <v>7987.5</v>
      </c>
      <c r="F215" s="34">
        <f>SUM(F212:F214)</f>
        <v>0</v>
      </c>
      <c r="G215" s="35">
        <f t="shared" si="90"/>
        <v>7987.5</v>
      </c>
      <c r="H215" s="35"/>
      <c r="I215" s="35">
        <f>SUM(I213:I214)</f>
        <v>188.5</v>
      </c>
      <c r="J215" s="35"/>
      <c r="K215" s="35">
        <f>SUM(K212:K214)</f>
        <v>872.25</v>
      </c>
      <c r="L215" s="35">
        <f>SUM(L212:L214)</f>
        <v>2970.25</v>
      </c>
      <c r="M215" s="35"/>
      <c r="N215" s="35"/>
      <c r="O215" s="35"/>
      <c r="P215" s="35">
        <f>P213+P214</f>
        <v>6920</v>
      </c>
      <c r="Q215" s="35"/>
      <c r="R215" s="35">
        <f>SUM(R212:R214)</f>
        <v>18938.5</v>
      </c>
      <c r="S215" s="36">
        <f>SUM(S212:S214)</f>
        <v>100569.5</v>
      </c>
    </row>
    <row r="216" spans="1:20" ht="21" customHeight="1" x14ac:dyDescent="0.25">
      <c r="A216" s="15"/>
      <c r="B216" s="55" t="s">
        <v>287</v>
      </c>
      <c r="C216" s="85"/>
      <c r="D216" s="85"/>
      <c r="E216" s="94"/>
      <c r="F216" s="85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110"/>
    </row>
    <row r="217" spans="1:20" x14ac:dyDescent="0.25">
      <c r="A217" s="20" t="s">
        <v>288</v>
      </c>
      <c r="B217" s="21" t="s">
        <v>220</v>
      </c>
      <c r="C217" s="22">
        <v>1</v>
      </c>
      <c r="D217" s="22">
        <v>10</v>
      </c>
      <c r="E217" s="23">
        <v>5815</v>
      </c>
      <c r="F217" s="22"/>
      <c r="G217" s="23">
        <f t="shared" ref="G217:G221" si="91">E217+F217</f>
        <v>5815</v>
      </c>
      <c r="H217" s="23"/>
      <c r="I217" s="23"/>
      <c r="J217" s="23"/>
      <c r="K217" s="23">
        <f>G217*0.3</f>
        <v>1744.5</v>
      </c>
      <c r="L217" s="23">
        <f>R217-K217-G217</f>
        <v>5940.5</v>
      </c>
      <c r="M217" s="23"/>
      <c r="N217" s="23"/>
      <c r="O217" s="23"/>
      <c r="P217" s="23"/>
      <c r="Q217" s="23"/>
      <c r="R217" s="23">
        <v>13500</v>
      </c>
      <c r="S217" s="25">
        <f>R217*7</f>
        <v>94500</v>
      </c>
    </row>
    <row r="218" spans="1:20" x14ac:dyDescent="0.25">
      <c r="A218" s="20" t="s">
        <v>289</v>
      </c>
      <c r="B218" s="21" t="s">
        <v>130</v>
      </c>
      <c r="C218" s="22">
        <v>1</v>
      </c>
      <c r="D218" s="22">
        <v>7</v>
      </c>
      <c r="E218" s="23">
        <v>4920</v>
      </c>
      <c r="F218" s="22"/>
      <c r="G218" s="23">
        <f t="shared" si="91"/>
        <v>4920</v>
      </c>
      <c r="H218" s="23"/>
      <c r="I218" s="23">
        <f>G218*0.1</f>
        <v>492</v>
      </c>
      <c r="J218" s="23"/>
      <c r="K218" s="23">
        <f>G218*0.3</f>
        <v>1476</v>
      </c>
      <c r="L218" s="23">
        <f>13500-G218-I218-K218</f>
        <v>6612</v>
      </c>
      <c r="M218" s="23"/>
      <c r="N218" s="23"/>
      <c r="O218" s="23"/>
      <c r="P218" s="23"/>
      <c r="Q218" s="23"/>
      <c r="R218" s="23">
        <f>G218+I218+K218+L218</f>
        <v>13500</v>
      </c>
      <c r="S218" s="25">
        <f t="shared" ref="S218:S219" si="92">R218*7</f>
        <v>94500</v>
      </c>
    </row>
    <row r="219" spans="1:20" x14ac:dyDescent="0.25">
      <c r="A219" s="20" t="s">
        <v>290</v>
      </c>
      <c r="B219" s="21" t="s">
        <v>134</v>
      </c>
      <c r="C219" s="22">
        <v>1</v>
      </c>
      <c r="D219" s="22">
        <v>3</v>
      </c>
      <c r="E219" s="23">
        <v>3770</v>
      </c>
      <c r="F219" s="22"/>
      <c r="G219" s="23">
        <f t="shared" si="91"/>
        <v>3770</v>
      </c>
      <c r="H219" s="23"/>
      <c r="I219" s="23">
        <f>G219*0.1</f>
        <v>377</v>
      </c>
      <c r="J219" s="23"/>
      <c r="K219" s="23"/>
      <c r="L219" s="23"/>
      <c r="M219" s="23"/>
      <c r="N219" s="23"/>
      <c r="O219" s="23"/>
      <c r="P219" s="23">
        <f>8000-G219</f>
        <v>4230</v>
      </c>
      <c r="Q219" s="23"/>
      <c r="R219" s="23">
        <f>SUM(G219:Q219)</f>
        <v>8377</v>
      </c>
      <c r="S219" s="25">
        <f t="shared" si="92"/>
        <v>58639</v>
      </c>
    </row>
    <row r="220" spans="1:20" x14ac:dyDescent="0.25">
      <c r="A220" s="20" t="s">
        <v>291</v>
      </c>
      <c r="B220" s="21" t="s">
        <v>227</v>
      </c>
      <c r="C220" s="22">
        <v>1.5</v>
      </c>
      <c r="D220" s="22">
        <v>1</v>
      </c>
      <c r="E220" s="23">
        <f>3195*C220</f>
        <v>4792.5</v>
      </c>
      <c r="F220" s="22"/>
      <c r="G220" s="23">
        <f t="shared" si="91"/>
        <v>4792.5</v>
      </c>
      <c r="H220" s="23"/>
      <c r="I220" s="23"/>
      <c r="J220" s="23"/>
      <c r="K220" s="23"/>
      <c r="L220" s="23"/>
      <c r="M220" s="23"/>
      <c r="N220" s="23"/>
      <c r="O220" s="23"/>
      <c r="P220" s="23">
        <f>8000*C220-G220</f>
        <v>7207.5</v>
      </c>
      <c r="Q220" s="23"/>
      <c r="R220" s="23">
        <f>E220+P220</f>
        <v>12000</v>
      </c>
      <c r="S220" s="25">
        <f>R220*3</f>
        <v>36000</v>
      </c>
    </row>
    <row r="221" spans="1:20" s="27" customFormat="1" ht="26.4" customHeight="1" thickBot="1" x14ac:dyDescent="0.3">
      <c r="A221" s="64"/>
      <c r="B221" s="47" t="s">
        <v>59</v>
      </c>
      <c r="C221" s="34">
        <f>SUM(C217:C220)</f>
        <v>4.5</v>
      </c>
      <c r="D221" s="34"/>
      <c r="E221" s="35">
        <f>SUM(E217:E220)</f>
        <v>19297.5</v>
      </c>
      <c r="F221" s="34">
        <f>SUM(F217:F220)</f>
        <v>0</v>
      </c>
      <c r="G221" s="35">
        <f t="shared" si="91"/>
        <v>19297.5</v>
      </c>
      <c r="H221" s="35"/>
      <c r="I221" s="35">
        <f>SUM(I218:I220)</f>
        <v>869</v>
      </c>
      <c r="J221" s="35"/>
      <c r="K221" s="35">
        <f>K217+K218</f>
        <v>3220.5</v>
      </c>
      <c r="L221" s="35">
        <f>L217+L218</f>
        <v>12552.5</v>
      </c>
      <c r="M221" s="35"/>
      <c r="N221" s="35"/>
      <c r="O221" s="35"/>
      <c r="P221" s="35">
        <f>SUM(P217:P220)</f>
        <v>11437.5</v>
      </c>
      <c r="Q221" s="35"/>
      <c r="R221" s="35">
        <f>SUM(R217:R220)</f>
        <v>47377</v>
      </c>
      <c r="S221" s="36">
        <f>SUM(S217:S220)</f>
        <v>283639</v>
      </c>
    </row>
    <row r="222" spans="1:20" s="13" customFormat="1" ht="22.2" customHeight="1" x14ac:dyDescent="0.2">
      <c r="A222" s="18"/>
      <c r="B222" s="55" t="s">
        <v>292</v>
      </c>
      <c r="C222" s="85"/>
      <c r="D222" s="85"/>
      <c r="E222" s="94"/>
      <c r="F222" s="85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110"/>
    </row>
    <row r="223" spans="1:20" x14ac:dyDescent="0.25">
      <c r="A223" s="20" t="s">
        <v>293</v>
      </c>
      <c r="B223" s="21" t="s">
        <v>220</v>
      </c>
      <c r="C223" s="22">
        <v>1</v>
      </c>
      <c r="D223" s="22">
        <v>10</v>
      </c>
      <c r="E223" s="23">
        <v>5815</v>
      </c>
      <c r="F223" s="22"/>
      <c r="G223" s="23">
        <f t="shared" ref="G223:G225" si="93">E223+F223</f>
        <v>5815</v>
      </c>
      <c r="H223" s="23"/>
      <c r="I223" s="23"/>
      <c r="J223" s="23"/>
      <c r="K223" s="23">
        <f>G223*0.3</f>
        <v>1744.5</v>
      </c>
      <c r="L223" s="23">
        <f>R223-K223-G223</f>
        <v>5940.5</v>
      </c>
      <c r="M223" s="23"/>
      <c r="N223" s="23"/>
      <c r="O223" s="23"/>
      <c r="P223" s="23"/>
      <c r="Q223" s="23"/>
      <c r="R223" s="23">
        <v>13500</v>
      </c>
      <c r="S223" s="25">
        <f>R223*7</f>
        <v>94500</v>
      </c>
    </row>
    <row r="224" spans="1:20" s="38" customFormat="1" x14ac:dyDescent="0.25">
      <c r="A224" s="20" t="s">
        <v>294</v>
      </c>
      <c r="B224" s="21" t="s">
        <v>134</v>
      </c>
      <c r="C224" s="22">
        <v>0.5</v>
      </c>
      <c r="D224" s="22">
        <v>3</v>
      </c>
      <c r="E224" s="23">
        <v>1885</v>
      </c>
      <c r="F224" s="22"/>
      <c r="G224" s="23">
        <f t="shared" si="93"/>
        <v>1885</v>
      </c>
      <c r="H224" s="23"/>
      <c r="I224" s="23">
        <f>G224*0.1</f>
        <v>188.5</v>
      </c>
      <c r="J224" s="23"/>
      <c r="K224" s="23"/>
      <c r="L224" s="23"/>
      <c r="M224" s="23"/>
      <c r="N224" s="23"/>
      <c r="O224" s="23"/>
      <c r="P224" s="23">
        <f>8000/2-G224</f>
        <v>2115</v>
      </c>
      <c r="Q224" s="23"/>
      <c r="R224" s="23">
        <f>SUM(G224:Q224)</f>
        <v>4188.5</v>
      </c>
      <c r="S224" s="25">
        <f>R224*7</f>
        <v>29319.5</v>
      </c>
      <c r="T224" s="46"/>
    </row>
    <row r="225" spans="1:19" s="27" customFormat="1" ht="27.6" customHeight="1" thickBot="1" x14ac:dyDescent="0.3">
      <c r="A225" s="64"/>
      <c r="B225" s="47" t="s">
        <v>59</v>
      </c>
      <c r="C225" s="34">
        <f>SUM(C223:C224)</f>
        <v>1.5</v>
      </c>
      <c r="D225" s="34"/>
      <c r="E225" s="35">
        <f>SUM(E223:E224)</f>
        <v>7700</v>
      </c>
      <c r="F225" s="34">
        <f>SUM(F223:F224)</f>
        <v>0</v>
      </c>
      <c r="G225" s="35">
        <f t="shared" si="93"/>
        <v>7700</v>
      </c>
      <c r="H225" s="35"/>
      <c r="I225" s="35">
        <f>SUM(I224)</f>
        <v>188.5</v>
      </c>
      <c r="J225" s="35"/>
      <c r="K225" s="35">
        <f>SUM(K223:K224)</f>
        <v>1744.5</v>
      </c>
      <c r="L225" s="35">
        <f>SUM(L223:L224)</f>
        <v>5940.5</v>
      </c>
      <c r="M225" s="35"/>
      <c r="N225" s="35"/>
      <c r="O225" s="35"/>
      <c r="P225" s="35">
        <f>SUM(P224)</f>
        <v>2115</v>
      </c>
      <c r="Q225" s="35"/>
      <c r="R225" s="35">
        <f>SUM(R223:R224)</f>
        <v>17688.5</v>
      </c>
      <c r="S225" s="36">
        <f>SUM(S223:S224)</f>
        <v>123819.5</v>
      </c>
    </row>
    <row r="226" spans="1:19" ht="22.2" customHeight="1" x14ac:dyDescent="0.25">
      <c r="A226" s="15"/>
      <c r="B226" s="55" t="s">
        <v>295</v>
      </c>
      <c r="C226" s="85"/>
      <c r="D226" s="85"/>
      <c r="E226" s="94"/>
      <c r="F226" s="85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110"/>
    </row>
    <row r="227" spans="1:19" x14ac:dyDescent="0.25">
      <c r="A227" s="20" t="s">
        <v>296</v>
      </c>
      <c r="B227" s="21" t="s">
        <v>130</v>
      </c>
      <c r="C227" s="22">
        <v>0.5</v>
      </c>
      <c r="D227" s="22">
        <v>10</v>
      </c>
      <c r="E227" s="23">
        <v>2907.5</v>
      </c>
      <c r="F227" s="22"/>
      <c r="G227" s="23">
        <f t="shared" ref="G227:G228" si="94">E227+F227</f>
        <v>2907.5</v>
      </c>
      <c r="H227" s="23"/>
      <c r="I227" s="23"/>
      <c r="J227" s="23"/>
      <c r="K227" s="23">
        <f>G227*0.3</f>
        <v>872.25</v>
      </c>
      <c r="L227" s="23">
        <f>13500/2-G227-K227</f>
        <v>2970.25</v>
      </c>
      <c r="M227" s="23"/>
      <c r="N227" s="23"/>
      <c r="O227" s="23"/>
      <c r="P227" s="23"/>
      <c r="Q227" s="23"/>
      <c r="R227" s="23">
        <f>G227+K227+L227</f>
        <v>6750</v>
      </c>
      <c r="S227" s="25">
        <f>R227*7</f>
        <v>47250</v>
      </c>
    </row>
    <row r="228" spans="1:19" s="27" customFormat="1" ht="25.8" customHeight="1" thickBot="1" x14ac:dyDescent="0.3">
      <c r="A228" s="64"/>
      <c r="B228" s="47" t="s">
        <v>59</v>
      </c>
      <c r="C228" s="34">
        <f>SUM(C227:C227)</f>
        <v>0.5</v>
      </c>
      <c r="D228" s="34"/>
      <c r="E228" s="35">
        <f>SUM(E227:E227)</f>
        <v>2907.5</v>
      </c>
      <c r="F228" s="34">
        <f>SUM(F227:F227)</f>
        <v>0</v>
      </c>
      <c r="G228" s="35">
        <f t="shared" si="94"/>
        <v>2907.5</v>
      </c>
      <c r="H228" s="35"/>
      <c r="I228" s="35">
        <v>0</v>
      </c>
      <c r="J228" s="35"/>
      <c r="K228" s="35">
        <f>SUM(K227:K227)</f>
        <v>872.25</v>
      </c>
      <c r="L228" s="35">
        <f>SUM(L227:L227)</f>
        <v>2970.25</v>
      </c>
      <c r="M228" s="35"/>
      <c r="N228" s="35"/>
      <c r="O228" s="35"/>
      <c r="P228" s="35">
        <v>0</v>
      </c>
      <c r="Q228" s="35"/>
      <c r="R228" s="35">
        <f>SUM(R227:R227)</f>
        <v>6750</v>
      </c>
      <c r="S228" s="36">
        <f>SUM(S227:S227)</f>
        <v>47250</v>
      </c>
    </row>
    <row r="229" spans="1:19" ht="18.600000000000001" customHeight="1" x14ac:dyDescent="0.25">
      <c r="A229" s="15"/>
      <c r="B229" s="55" t="s">
        <v>298</v>
      </c>
      <c r="C229" s="85"/>
      <c r="D229" s="85"/>
      <c r="E229" s="94"/>
      <c r="F229" s="85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110"/>
    </row>
    <row r="230" spans="1:19" x14ac:dyDescent="0.25">
      <c r="A230" s="20" t="s">
        <v>299</v>
      </c>
      <c r="B230" s="21" t="s">
        <v>130</v>
      </c>
      <c r="C230" s="22">
        <v>0.5</v>
      </c>
      <c r="D230" s="22">
        <v>10</v>
      </c>
      <c r="E230" s="23">
        <v>2907.5</v>
      </c>
      <c r="F230" s="22"/>
      <c r="G230" s="23">
        <f t="shared" ref="G230:G232" si="95">E230+F230</f>
        <v>2907.5</v>
      </c>
      <c r="H230" s="23"/>
      <c r="I230" s="23"/>
      <c r="J230" s="23"/>
      <c r="K230" s="23">
        <f>G230*0.3</f>
        <v>872.25</v>
      </c>
      <c r="L230" s="23">
        <f>13500/2-G230-K230</f>
        <v>2970.25</v>
      </c>
      <c r="M230" s="23"/>
      <c r="N230" s="23"/>
      <c r="O230" s="23"/>
      <c r="P230" s="23"/>
      <c r="Q230" s="23"/>
      <c r="R230" s="23">
        <f>G230+K230+L230</f>
        <v>6750</v>
      </c>
      <c r="S230" s="25">
        <f>R230*7</f>
        <v>47250</v>
      </c>
    </row>
    <row r="231" spans="1:19" s="38" customFormat="1" x14ac:dyDescent="0.25">
      <c r="A231" s="20" t="s">
        <v>300</v>
      </c>
      <c r="B231" s="21" t="s">
        <v>134</v>
      </c>
      <c r="C231" s="22">
        <v>0.25</v>
      </c>
      <c r="D231" s="22">
        <v>3</v>
      </c>
      <c r="E231" s="23">
        <v>942.5</v>
      </c>
      <c r="F231" s="22"/>
      <c r="G231" s="23">
        <f t="shared" si="95"/>
        <v>942.5</v>
      </c>
      <c r="H231" s="23"/>
      <c r="I231" s="23">
        <f>G231*0.1</f>
        <v>94.25</v>
      </c>
      <c r="J231" s="23"/>
      <c r="K231" s="23"/>
      <c r="L231" s="23"/>
      <c r="M231" s="23"/>
      <c r="N231" s="23"/>
      <c r="O231" s="23"/>
      <c r="P231" s="23">
        <f>8000*0.25-G231</f>
        <v>1057.5</v>
      </c>
      <c r="Q231" s="23"/>
      <c r="R231" s="23">
        <f>E231+I231+P231</f>
        <v>2094.25</v>
      </c>
      <c r="S231" s="25">
        <f>R231*7</f>
        <v>14659.75</v>
      </c>
    </row>
    <row r="232" spans="1:19" s="27" customFormat="1" ht="27" customHeight="1" thickBot="1" x14ac:dyDescent="0.3">
      <c r="A232" s="64"/>
      <c r="B232" s="47" t="s">
        <v>59</v>
      </c>
      <c r="C232" s="34">
        <f>SUM(C230:C231)</f>
        <v>0.75</v>
      </c>
      <c r="D232" s="34"/>
      <c r="E232" s="35">
        <f>SUM(E230:E231)</f>
        <v>3850</v>
      </c>
      <c r="F232" s="34">
        <f>SUM(F230:F231)</f>
        <v>0</v>
      </c>
      <c r="G232" s="35">
        <f t="shared" si="95"/>
        <v>3850</v>
      </c>
      <c r="H232" s="35"/>
      <c r="I232" s="35">
        <f>SUM(I231)</f>
        <v>94.25</v>
      </c>
      <c r="J232" s="35"/>
      <c r="K232" s="35">
        <f>SUM(K230:K231)</f>
        <v>872.25</v>
      </c>
      <c r="L232" s="35">
        <f>SUM(L230:L231)</f>
        <v>2970.25</v>
      </c>
      <c r="M232" s="35"/>
      <c r="N232" s="35"/>
      <c r="O232" s="35"/>
      <c r="P232" s="35">
        <f>SUM(P231)</f>
        <v>1057.5</v>
      </c>
      <c r="Q232" s="35"/>
      <c r="R232" s="35">
        <f>SUM(R230:R231)</f>
        <v>8844.25</v>
      </c>
      <c r="S232" s="36">
        <f>SUM(S230:S231)</f>
        <v>61909.75</v>
      </c>
    </row>
    <row r="233" spans="1:19" s="49" customFormat="1" ht="23.25" customHeight="1" thickBot="1" x14ac:dyDescent="0.3">
      <c r="A233" s="67"/>
      <c r="B233" s="119" t="s">
        <v>301</v>
      </c>
      <c r="C233" s="120">
        <f>C27+C38+C46+C41+C54+C60+C81+C127+C111+C117+C140+C151+C157+C164+C171+C180+C185+C225+C221+C215+C201+C206+C228+C232+C191+C210+C196+C144+C121</f>
        <v>190.5</v>
      </c>
      <c r="D233" s="121"/>
      <c r="E233" s="120">
        <f t="shared" ref="E233:S233" si="96">E27+E38+E46+E41+E54+E60+E81+E127+E111+E117+E140+E151+E157+E164+E171+E180+E185+E221+E225+E215+E201+E206+E228+E191+E210+E196+E144+E232+E121</f>
        <v>1093100.5</v>
      </c>
      <c r="F233" s="120">
        <f t="shared" si="96"/>
        <v>30545.412499999995</v>
      </c>
      <c r="G233" s="120">
        <f t="shared" si="96"/>
        <v>1123645.9125000001</v>
      </c>
      <c r="H233" s="120">
        <f t="shared" si="96"/>
        <v>23683.75</v>
      </c>
      <c r="I233" s="120">
        <f t="shared" si="96"/>
        <v>26865.276249999999</v>
      </c>
      <c r="J233" s="120">
        <f t="shared" si="96"/>
        <v>491.82400000000001</v>
      </c>
      <c r="K233" s="120">
        <f t="shared" si="96"/>
        <v>221993.20874999993</v>
      </c>
      <c r="L233" s="120">
        <f t="shared" si="96"/>
        <v>894550.06749999989</v>
      </c>
      <c r="M233" s="120">
        <f t="shared" si="96"/>
        <v>3750</v>
      </c>
      <c r="N233" s="120">
        <f t="shared" si="96"/>
        <v>24538.915000000001</v>
      </c>
      <c r="O233" s="120">
        <f t="shared" si="96"/>
        <v>141900.25</v>
      </c>
      <c r="P233" s="120">
        <f t="shared" si="96"/>
        <v>245812</v>
      </c>
      <c r="Q233" s="120">
        <f t="shared" si="96"/>
        <v>0</v>
      </c>
      <c r="R233" s="120">
        <f t="shared" si="96"/>
        <v>2706996.9039999996</v>
      </c>
      <c r="S233" s="120">
        <f t="shared" si="96"/>
        <v>18772978.327999998</v>
      </c>
    </row>
    <row r="234" spans="1:19" ht="12.6" thickBot="1" x14ac:dyDescent="0.3">
      <c r="F234" s="13"/>
      <c r="I234" s="68"/>
    </row>
    <row r="235" spans="1:19" ht="15.6" customHeight="1" x14ac:dyDescent="0.25">
      <c r="B235" s="69" t="s">
        <v>302</v>
      </c>
      <c r="C235" s="70">
        <f>C48+C49+C56+C57+C58+C63+C64+C65+C66+C67+C68+C123+C124+C83+C84+C85+C86+C87+C88+C89+C100+C94+C90+C95+C91+C74+C98+C96+C93+C92+C101+C99+C102+C113+C114+C133+C129+C134+C135+C146+C153+C159+C166+C173+C174+C175+C182+C141+C69+C70+C71+C72+C73+C119+C120+C97</f>
        <v>49.75</v>
      </c>
      <c r="D235" s="70"/>
      <c r="E235" s="70">
        <f>E48+E49+E56+E57+E58+E63+E64+E65+E66+E67+E68+E123+E124+E83+E84+E85+E86+E87+E88+E89+E100+E94+E90+E95+E91+E74+E98+E96+E93+E92+E101+E99+E102+E113+E114+E133+E129+E134+E135+E146+E153+E159+E166+E173+E174+E175+E182+E141+E69+E70+E71+E72+E73+E119+E120+E97</f>
        <v>349772</v>
      </c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>
        <f t="shared" ref="Q235" si="97">Q48+Q49+Q56+Q57+Q58+Q63+Q64+Q65+Q66+Q67+Q68+Q123+Q124+Q83+Q84+Q85+Q86+Q87+Q88+Q89+Q100+Q94+Q90+Q95+Q91+Q74+Q98+Q96+Q93+Q92+Q101+Q99+Q102+Q113+Q114+Q133+Q129+Q134+Q135+Q146+Q153+Q159+Q166+Q173+Q174+Q175+Q182+Q141+Q69+Q70+Q71+Q72+Q73+Q119+Q120</f>
        <v>0</v>
      </c>
      <c r="R235" s="70">
        <f>R48+R49+R56+R57+R58+R63+R64+R65+R66+R67+R68+R123+R124+R83+R84+R85+R86+R87+R88+R89+R100+R94+R90+R95+R91+R74+R98+R96+R93+R92+R101+R99+R102+R113+R114+R133+R129+R134+R135+R146+R153+R159+R166+R173+R174+R175+R182+R141+R69+R70+R71+R72+R73+R119+R120+R97</f>
        <v>990000</v>
      </c>
      <c r="S235" s="70">
        <f>S48+S49+S56+S57+S58+S63+S64+S65+S66+S67+S68+S123+S124+S83+S84+S85+S86+S87+S88+S89+S100+S94+S90+S95+S91+S74+S98+S96+S93+S92+S101+S99+S102+S113+S114+S133+S129+S134+S135+S146+S153+S159+S166+S173+S174+S175+S182+S141+S69+S70+S71+S72+S73+S119+S120+S97</f>
        <v>6930000</v>
      </c>
    </row>
    <row r="236" spans="1:19" ht="15.6" customHeight="1" x14ac:dyDescent="0.25">
      <c r="B236" s="71" t="s">
        <v>303</v>
      </c>
      <c r="C236" s="72">
        <f>C17+C50+C53+C75+C76+C77+C125+C103+C106+C107+C104+C105+C108+C115+C130+C136+C137+C138+C147+C154+C155+C160+C161+C167+C168+C176+C177+C183+C218+C217+C223+C212+C198+C203+C227+C188+C208+C193+C142+C230</f>
        <v>69</v>
      </c>
      <c r="D236" s="72"/>
      <c r="E236" s="123">
        <f>E17+E50+E53+E75+E76+E77+E125+E103+E106+E107+E104+E105+E108+E115+E130+E136+E137+E138+E147+E154+E155+E160+E161+E167+E168+E176+E177+E183+E218+E217+E223+E212+E198+E203+E227+E188+E208+E193+E142+E230</f>
        <v>387530</v>
      </c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>
        <f>Q17+Q50+Q53+Q75+Q76+Q77+Q125+Q103+Q106+Q107+Q104+Q105+Q108+Q115+Q130+Q136+Q137+Q138+Q147+Q154+Q155+Q160+Q161+Q167+Q168+Q176+Q177+Q183+Q218+Q217+Q223+Q212+Q198+Q203+Q227+Q188+Q208+Q193+Q142+Q230</f>
        <v>0</v>
      </c>
      <c r="R236" s="72">
        <f>R17+R50+R53+R75+R76+R77+R125+R103+R106+R107+R104+R105+R108+R115+R130+R136+R137+R138+R147+R154+R155+R160+R161+R167+R168+R176+R177+R183+R218+R217+R223+R212+R198+R203+R227+R188+R208+R193+R142+R230</f>
        <v>940097</v>
      </c>
      <c r="S236" s="89">
        <f>S17+S50+S53+S75+S76+S77+S125+S103+S106+S107+S104+S105+S108+S115+S130+S136+S137+S138+S147+S154+S155+S160+S161+S167+S168+S176+S177+S183+S218+S217+S223+S212+S198+S203+S227+S188+S208+S193+S142+S230</f>
        <v>6580679</v>
      </c>
    </row>
    <row r="237" spans="1:19" ht="15.6" customHeight="1" x14ac:dyDescent="0.25">
      <c r="B237" s="71" t="s">
        <v>304</v>
      </c>
      <c r="C237" s="72">
        <f>C78+C79+C126+C110+C116+C139+C148+C156+C162+C169+C178+C184+C219+C224+C213+C199+C204+C189+C209+C194+C231</f>
        <v>26.75</v>
      </c>
      <c r="D237" s="72"/>
      <c r="E237" s="123">
        <f>E78+E79+E126+E110+E116+E139+E148+E156+E162+E169+E178+E184+E219+E224+E213+E199+E204+E189+E209+E194+E231</f>
        <v>103295.5</v>
      </c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 t="e">
        <f>Q78+Q79+Q126+Q110+Q116+Q139+Q148+Q156+Q162+Q169+Q178+Q184+Q219+Q224+Q213+Q199+Q204+#REF!+Q189+Q209+Q194+Q231</f>
        <v>#REF!</v>
      </c>
      <c r="R237" s="123">
        <f>R78+R79+R126+R110+R116+R139+R148+R156+R162+R169+R178+R184+R219+R224+R213+R199+R204+R189+R209+R194+R231</f>
        <v>230288.83</v>
      </c>
      <c r="S237" s="124">
        <f>S78+S79+S126+S110+S116+S139+S148+S156+S162+S169+S178+S184+S219+S224+S213+S199+S204+S189+S209+S194+S231</f>
        <v>1612021.81</v>
      </c>
    </row>
    <row r="238" spans="1:19" ht="15.6" customHeight="1" x14ac:dyDescent="0.25">
      <c r="B238" s="71" t="s">
        <v>305</v>
      </c>
      <c r="C238" s="72">
        <f>C14+C15+C16+C18+C19+C20+C21+C22+C23+C24+C25+C26+C29+C31+C32+C33+C35+C36+C37+C43+C44+C45+C40+C51+C52+C59+C80+C109+C149+C150+C163+C170+C179+C220+C214+C200+C205+C190+C195+C143+C34+C30</f>
        <v>45</v>
      </c>
      <c r="D238" s="72"/>
      <c r="E238" s="123">
        <f>E14+E15+E16+E18+E19+E20+E21+E22+E23+E24+E25+E26+E29+E31+E32+E33+E35+E36+E37+E43+E44+E45+E40+E51+E52+E59+E80+E109+E149+E150+E163+E170+E179+E220+E214+E200+E205+E190+E195+E143+E34+E30</f>
        <v>252503</v>
      </c>
      <c r="F238" s="72"/>
      <c r="G238" s="72"/>
      <c r="H238" s="72" t="s">
        <v>8</v>
      </c>
      <c r="I238" s="72"/>
      <c r="J238" s="72"/>
      <c r="K238" s="72"/>
      <c r="L238" s="72"/>
      <c r="M238" s="72"/>
      <c r="N238" s="72"/>
      <c r="O238" s="72"/>
      <c r="P238" s="72"/>
      <c r="Q238" s="72">
        <f>Q14+Q15+Q16+Q18+Q19+Q20+Q21+Q22+Q23+Q24+Q25+Q26+Q29+Q31+Q32+Q33+Q35+Q36+Q37+Q43+Q44+Q45+Q40+Q51+Q52+Q59+Q80+Q109+Q149+Q150+Q163+Q170+Q179+Q220+Q214+Q200+Q205+Q190+Q195+Q143+Q34</f>
        <v>0</v>
      </c>
      <c r="R238" s="123">
        <f>R14+R15+R16+R18+R19+R20+R21+R22+R23+R24+R25+R26+R29+R31+R32+R33+R35+R36+R37+R43+R44+R45+R40+R51+R52+R59+R80+R109+R149+R150+R163+R170+R179+R220+R214+R200+R205+R190+R195+R143+R34+R30</f>
        <v>546611.07400000002</v>
      </c>
      <c r="S238" s="123">
        <f>S14+S15+S16+S18+S19+S20+S21+S22+S23+S24+S25+S26+S29+S31+S32+S33+S35+S36+S37+S43+S44+S45+S40+S51+S52+S59+S80+S109+S149+S150+S163+S170+S179+S220+S214+S200+S205+S190+S195+S143+S34+S30</f>
        <v>3650277.5179999997</v>
      </c>
    </row>
    <row r="239" spans="1:19" ht="12.6" thickBot="1" x14ac:dyDescent="0.3">
      <c r="B239" s="73" t="s">
        <v>306</v>
      </c>
      <c r="C239" s="74">
        <f>SUBTOTAL(9,C235:C238)</f>
        <v>190.5</v>
      </c>
      <c r="D239" s="74"/>
      <c r="E239" s="75">
        <f>SUBTOTAL(9,E235:E238)</f>
        <v>1093100.5</v>
      </c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 t="e">
        <f t="shared" ref="Q239:S239" si="98">SUBTOTAL(9,Q235:Q238)</f>
        <v>#REF!</v>
      </c>
      <c r="R239" s="75">
        <f>R235+R236+R237+R238</f>
        <v>2706996.9040000001</v>
      </c>
      <c r="S239" s="76">
        <f t="shared" si="98"/>
        <v>18772978.328000002</v>
      </c>
    </row>
    <row r="240" spans="1:19" ht="19.95" customHeight="1" x14ac:dyDescent="0.25">
      <c r="R240" s="53"/>
    </row>
    <row r="241" spans="2:10" ht="19.2" customHeight="1" x14ac:dyDescent="0.3">
      <c r="B241" s="77" t="s">
        <v>307</v>
      </c>
      <c r="C241" s="78"/>
      <c r="D241" s="78"/>
      <c r="E241" s="79">
        <f>E239</f>
        <v>1093100.5</v>
      </c>
      <c r="G241" s="80"/>
      <c r="H241" s="81"/>
      <c r="I241" s="82"/>
    </row>
    <row r="242" spans="2:10" x14ac:dyDescent="0.25">
      <c r="B242" s="77" t="s">
        <v>308</v>
      </c>
      <c r="E242" s="52">
        <f>S233+E241</f>
        <v>19866078.827999998</v>
      </c>
    </row>
    <row r="244" spans="2:10" ht="15.6" x14ac:dyDescent="0.3">
      <c r="C244" s="83"/>
      <c r="D244" s="83"/>
      <c r="E244" s="83"/>
      <c r="F244" s="83"/>
      <c r="G244" s="83"/>
      <c r="H244" s="83"/>
      <c r="I244" s="83"/>
      <c r="J244" s="83"/>
    </row>
    <row r="245" spans="2:10" ht="15.6" x14ac:dyDescent="0.3">
      <c r="C245" s="83" t="s">
        <v>3</v>
      </c>
      <c r="D245" s="83"/>
      <c r="E245" s="83"/>
      <c r="F245" s="83"/>
      <c r="G245" s="83"/>
      <c r="H245" s="83" t="s">
        <v>309</v>
      </c>
      <c r="I245" s="83"/>
      <c r="J245" s="83"/>
    </row>
    <row r="246" spans="2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2:10" ht="15.6" x14ac:dyDescent="0.3">
      <c r="C247" s="83"/>
      <c r="D247" s="83"/>
      <c r="E247" s="83"/>
      <c r="F247" s="83"/>
      <c r="G247" s="83"/>
      <c r="H247" s="83"/>
      <c r="I247" s="83"/>
      <c r="J247" s="83"/>
    </row>
    <row r="248" spans="2:10" ht="15.6" x14ac:dyDescent="0.3">
      <c r="C248" s="143" t="s">
        <v>39</v>
      </c>
      <c r="D248" s="143"/>
      <c r="E248" s="143"/>
      <c r="F248" s="83"/>
      <c r="G248" s="83"/>
      <c r="H248" s="83" t="s">
        <v>311</v>
      </c>
      <c r="I248" s="83"/>
      <c r="J248" s="83"/>
    </row>
    <row r="249" spans="2:10" ht="15.6" x14ac:dyDescent="0.3">
      <c r="C249" s="83"/>
      <c r="D249" s="84"/>
      <c r="E249" s="84"/>
      <c r="F249" s="83"/>
      <c r="G249" s="83"/>
      <c r="H249" s="83"/>
      <c r="I249" s="83"/>
      <c r="J249" s="83"/>
    </row>
    <row r="250" spans="2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2:10" ht="15.6" x14ac:dyDescent="0.3">
      <c r="C251" s="83" t="s">
        <v>46</v>
      </c>
      <c r="D251" s="83"/>
      <c r="E251" s="83"/>
      <c r="F251" s="83"/>
      <c r="G251" s="83"/>
      <c r="H251" s="83" t="s">
        <v>331</v>
      </c>
      <c r="I251" s="83"/>
      <c r="J251" s="83"/>
    </row>
    <row r="252" spans="2:10" ht="15.6" x14ac:dyDescent="0.3">
      <c r="C252" s="83"/>
      <c r="D252" s="83"/>
      <c r="E252" s="83"/>
      <c r="F252" s="83"/>
      <c r="G252" s="83"/>
      <c r="H252" s="83"/>
      <c r="I252" s="83"/>
      <c r="J252" s="83"/>
    </row>
    <row r="253" spans="2:10" ht="15.6" x14ac:dyDescent="0.3">
      <c r="C253" s="83"/>
      <c r="D253" s="83"/>
      <c r="E253" s="83"/>
      <c r="F253" s="83"/>
      <c r="G253" s="83"/>
      <c r="H253" s="83"/>
      <c r="I253" s="83"/>
      <c r="J253" s="83"/>
    </row>
    <row r="254" spans="2:10" ht="15.6" x14ac:dyDescent="0.3">
      <c r="C254" s="143"/>
      <c r="D254" s="144"/>
      <c r="E254" s="144"/>
      <c r="F254" s="83"/>
      <c r="G254" s="83"/>
      <c r="H254" s="83"/>
      <c r="I254" s="83"/>
      <c r="J254" s="83"/>
    </row>
    <row r="255" spans="2:10" ht="15.6" x14ac:dyDescent="0.3">
      <c r="C255" s="83"/>
      <c r="D255" s="84"/>
      <c r="E255" s="84"/>
      <c r="F255" s="83"/>
      <c r="G255" s="83"/>
      <c r="H255" s="83"/>
      <c r="I255" s="83"/>
      <c r="J255" s="83"/>
    </row>
    <row r="256" spans="2:10" ht="15.6" x14ac:dyDescent="0.3">
      <c r="C256" s="83"/>
      <c r="D256" s="83"/>
      <c r="E256" s="83"/>
      <c r="F256" s="83"/>
      <c r="G256" s="83"/>
      <c r="H256" s="83"/>
      <c r="I256" s="83"/>
      <c r="J256" s="83"/>
    </row>
    <row r="257" spans="3:10" ht="15.6" x14ac:dyDescent="0.3">
      <c r="C257" s="83"/>
      <c r="D257" s="83"/>
      <c r="E257" s="83"/>
      <c r="F257" s="83"/>
      <c r="G257" s="83"/>
      <c r="H257" s="83"/>
      <c r="I257" s="83"/>
      <c r="J257" s="83"/>
    </row>
  </sheetData>
  <mergeCells count="29">
    <mergeCell ref="C254:E254"/>
    <mergeCell ref="O11:O12"/>
    <mergeCell ref="P11:P12"/>
    <mergeCell ref="Q11:Q12"/>
    <mergeCell ref="R11:R12"/>
    <mergeCell ref="S11:S12"/>
    <mergeCell ref="C248:E248"/>
    <mergeCell ref="F11:F12"/>
    <mergeCell ref="G11:G12"/>
    <mergeCell ref="H11:K11"/>
    <mergeCell ref="L11:L12"/>
    <mergeCell ref="M11:M12"/>
    <mergeCell ref="N11:N12"/>
    <mergeCell ref="M6:S6"/>
    <mergeCell ref="O8:P8"/>
    <mergeCell ref="S8:AH8"/>
    <mergeCell ref="B9:R9"/>
    <mergeCell ref="B10:R10"/>
    <mergeCell ref="A11:A12"/>
    <mergeCell ref="B11:B12"/>
    <mergeCell ref="C11:C12"/>
    <mergeCell ref="D11:D12"/>
    <mergeCell ref="E11:E12"/>
    <mergeCell ref="B1:S1"/>
    <mergeCell ref="M2:S2"/>
    <mergeCell ref="B3:D3"/>
    <mergeCell ref="M3:S3"/>
    <mergeCell ref="B5:D5"/>
    <mergeCell ref="M5:P5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288FA-8787-4B6B-A674-BDBAD05D2D9A}">
  <dimension ref="A1:AI257"/>
  <sheetViews>
    <sheetView view="pageBreakPreview" topLeftCell="B208" zoomScale="60" zoomScaleNormal="70" workbookViewId="0">
      <selection activeCell="C88" sqref="C88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2" width="11.33203125" style="2" customWidth="1"/>
    <col min="13" max="13" width="10.21875" style="2" customWidth="1"/>
    <col min="14" max="14" width="9.88671875" style="2" customWidth="1"/>
    <col min="15" max="15" width="12.5546875" style="2" customWidth="1"/>
    <col min="16" max="16" width="10.88671875" style="2" customWidth="1"/>
    <col min="17" max="17" width="0.21875" style="2" customWidth="1"/>
    <col min="18" max="18" width="11.5546875" style="2" customWidth="1"/>
    <col min="19" max="19" width="11.886718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4"/>
      <c r="S1" s="16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63"/>
      <c r="N2" s="164"/>
      <c r="O2" s="164"/>
      <c r="P2" s="164"/>
      <c r="Q2" s="164"/>
      <c r="R2" s="164"/>
      <c r="S2" s="164"/>
    </row>
    <row r="3" spans="1:35" ht="40.799999999999997" customHeight="1" x14ac:dyDescent="0.35">
      <c r="B3" s="165" t="s">
        <v>0</v>
      </c>
      <c r="C3" s="166"/>
      <c r="D3" s="166"/>
      <c r="E3" s="4"/>
      <c r="F3" s="4"/>
      <c r="G3" s="4"/>
      <c r="H3" s="4"/>
      <c r="I3" s="4"/>
      <c r="J3" s="4"/>
      <c r="K3" s="4"/>
      <c r="L3" s="4"/>
      <c r="M3" s="167" t="s">
        <v>1</v>
      </c>
      <c r="N3" s="168"/>
      <c r="O3" s="168"/>
      <c r="P3" s="168"/>
      <c r="Q3" s="168"/>
      <c r="R3" s="168"/>
      <c r="S3" s="168"/>
    </row>
    <row r="4" spans="1:35" ht="11.4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/>
      <c r="N4"/>
      <c r="O4"/>
      <c r="P4"/>
      <c r="Q4"/>
      <c r="R4"/>
      <c r="S4"/>
    </row>
    <row r="5" spans="1:35" ht="17.399999999999999" x14ac:dyDescent="0.3">
      <c r="B5" s="169" t="s">
        <v>2</v>
      </c>
      <c r="C5" s="169"/>
      <c r="D5" s="169"/>
      <c r="G5" s="8"/>
      <c r="H5" s="8"/>
      <c r="I5" s="8"/>
      <c r="J5" s="8"/>
      <c r="K5" s="8"/>
      <c r="L5" s="8"/>
      <c r="M5" s="143" t="s">
        <v>3</v>
      </c>
      <c r="N5" s="144"/>
      <c r="O5" s="144"/>
      <c r="P5" s="144"/>
      <c r="Q5" s="9"/>
      <c r="R5" s="9"/>
      <c r="S5" s="3"/>
    </row>
    <row r="6" spans="1:35" ht="29.4" customHeight="1" x14ac:dyDescent="0.3">
      <c r="B6" s="10"/>
      <c r="G6" s="11"/>
      <c r="H6" s="12"/>
      <c r="M6" s="155" t="s">
        <v>4</v>
      </c>
      <c r="N6" s="144"/>
      <c r="O6" s="144"/>
      <c r="P6" s="144"/>
      <c r="Q6" s="144"/>
      <c r="R6" s="144"/>
      <c r="S6" s="144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6" t="s">
        <v>333</v>
      </c>
      <c r="P8" s="157"/>
      <c r="Q8" s="13"/>
      <c r="R8" s="13"/>
      <c r="S8" s="158" t="s">
        <v>6</v>
      </c>
      <c r="T8" s="158"/>
      <c r="U8" s="158"/>
      <c r="V8" s="158"/>
      <c r="W8" s="158"/>
      <c r="X8" s="158"/>
      <c r="Y8" s="158"/>
      <c r="Z8" s="158"/>
      <c r="AA8" s="158"/>
      <c r="AB8" s="158"/>
      <c r="AC8" s="158"/>
      <c r="AD8" s="158"/>
      <c r="AE8" s="158"/>
      <c r="AF8" s="158"/>
      <c r="AG8" s="158"/>
      <c r="AH8" s="158"/>
      <c r="AI8" s="14"/>
    </row>
    <row r="9" spans="1:35" ht="23.4" customHeight="1" x14ac:dyDescent="0.3">
      <c r="B9" s="159" t="s">
        <v>7</v>
      </c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4" t="s">
        <v>8</v>
      </c>
    </row>
    <row r="10" spans="1:35" ht="27.6" customHeight="1" thickBot="1" x14ac:dyDescent="0.35">
      <c r="B10" s="160" t="s">
        <v>329</v>
      </c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</row>
    <row r="11" spans="1:35" ht="37.950000000000003" customHeight="1" x14ac:dyDescent="0.25">
      <c r="A11" s="161"/>
      <c r="B11" s="149" t="s">
        <v>10</v>
      </c>
      <c r="C11" s="151" t="s">
        <v>11</v>
      </c>
      <c r="D11" s="151" t="s">
        <v>12</v>
      </c>
      <c r="E11" s="151" t="s">
        <v>13</v>
      </c>
      <c r="F11" s="151" t="s">
        <v>14</v>
      </c>
      <c r="G11" s="151" t="s">
        <v>15</v>
      </c>
      <c r="H11" s="151" t="s">
        <v>16</v>
      </c>
      <c r="I11" s="151"/>
      <c r="J11" s="151"/>
      <c r="K11" s="151"/>
      <c r="L11" s="147" t="s">
        <v>17</v>
      </c>
      <c r="M11" s="147" t="s">
        <v>18</v>
      </c>
      <c r="N11" s="147" t="s">
        <v>19</v>
      </c>
      <c r="O11" s="145" t="s">
        <v>20</v>
      </c>
      <c r="P11" s="147" t="s">
        <v>21</v>
      </c>
      <c r="Q11" s="149"/>
      <c r="R11" s="151" t="s">
        <v>22</v>
      </c>
      <c r="S11" s="153" t="s">
        <v>330</v>
      </c>
    </row>
    <row r="12" spans="1:35" ht="64.95" customHeight="1" thickBot="1" x14ac:dyDescent="0.3">
      <c r="A12" s="162"/>
      <c r="B12" s="150"/>
      <c r="C12" s="152"/>
      <c r="D12" s="152"/>
      <c r="E12" s="152"/>
      <c r="F12" s="152"/>
      <c r="G12" s="152"/>
      <c r="H12" s="16" t="s">
        <v>24</v>
      </c>
      <c r="I12" s="17" t="s">
        <v>25</v>
      </c>
      <c r="J12" s="17" t="s">
        <v>26</v>
      </c>
      <c r="K12" s="16" t="s">
        <v>27</v>
      </c>
      <c r="L12" s="148"/>
      <c r="M12" s="148"/>
      <c r="N12" s="148"/>
      <c r="O12" s="146"/>
      <c r="P12" s="148"/>
      <c r="Q12" s="150"/>
      <c r="R12" s="152"/>
      <c r="S12" s="154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R14*7</f>
        <v>376250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R15*7</f>
        <v>157500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157500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5815</v>
      </c>
      <c r="F17" s="23"/>
      <c r="G17" s="23">
        <f>E17</f>
        <v>5815</v>
      </c>
      <c r="H17" s="23">
        <f>G17*0.5</f>
        <v>2907.5</v>
      </c>
      <c r="I17" s="23" t="s">
        <v>37</v>
      </c>
      <c r="J17" s="24"/>
      <c r="K17" s="22">
        <f>G17*0.3</f>
        <v>1744.5</v>
      </c>
      <c r="L17" s="23"/>
      <c r="M17" s="24"/>
      <c r="N17" s="23"/>
      <c r="O17" s="26">
        <f>G17*200%</f>
        <v>11630</v>
      </c>
      <c r="P17" s="24"/>
      <c r="Q17" s="22"/>
      <c r="R17" s="23">
        <f>N17+K17+H17+E17+L17+O17</f>
        <v>22097</v>
      </c>
      <c r="S17" s="25">
        <f t="shared" si="0"/>
        <v>154679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6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280000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5240*C19</f>
        <v>10480</v>
      </c>
      <c r="F19" s="23"/>
      <c r="G19" s="23">
        <f t="shared" si="1"/>
        <v>10480</v>
      </c>
      <c r="H19" s="23">
        <f t="shared" ref="H19:H26" si="2">G19*0.5</f>
        <v>5240</v>
      </c>
      <c r="I19" s="23"/>
      <c r="J19" s="23"/>
      <c r="K19" s="23"/>
      <c r="L19" s="23" t="s">
        <v>44</v>
      </c>
      <c r="M19" s="23"/>
      <c r="N19" s="23"/>
      <c r="O19" s="23">
        <f>10480*C19</f>
        <v>20960</v>
      </c>
      <c r="P19" s="23" t="s">
        <v>8</v>
      </c>
      <c r="Q19" s="23"/>
      <c r="R19" s="23">
        <f>G19+H19+O19</f>
        <v>36680</v>
      </c>
      <c r="S19" s="25">
        <f t="shared" si="0"/>
        <v>256760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8</v>
      </c>
      <c r="E20" s="23">
        <v>5240</v>
      </c>
      <c r="F20" s="23"/>
      <c r="G20" s="23">
        <f t="shared" si="1"/>
        <v>5240</v>
      </c>
      <c r="H20" s="23">
        <f t="shared" si="2"/>
        <v>2620</v>
      </c>
      <c r="I20" s="23"/>
      <c r="J20" s="23"/>
      <c r="K20" s="23"/>
      <c r="L20" s="23" t="s">
        <v>44</v>
      </c>
      <c r="M20" s="23"/>
      <c r="N20" s="23"/>
      <c r="O20" s="23">
        <v>10480</v>
      </c>
      <c r="P20" s="23" t="s">
        <v>8</v>
      </c>
      <c r="Q20" s="23"/>
      <c r="R20" s="23">
        <f>G20+H20+O20</f>
        <v>18340</v>
      </c>
      <c r="S20" s="25">
        <f t="shared" si="0"/>
        <v>128380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5240</v>
      </c>
      <c r="F21" s="22"/>
      <c r="G21" s="23">
        <f t="shared" si="1"/>
        <v>5240</v>
      </c>
      <c r="H21" s="23">
        <f t="shared" si="2"/>
        <v>2620</v>
      </c>
      <c r="I21" s="24"/>
      <c r="J21" s="24"/>
      <c r="K21" s="22"/>
      <c r="L21" s="24"/>
      <c r="M21" s="24"/>
      <c r="N21" s="23"/>
      <c r="O21" s="23">
        <f>G21*200%</f>
        <v>10480</v>
      </c>
      <c r="P21" s="24"/>
      <c r="Q21" s="22"/>
      <c r="R21" s="23">
        <f t="shared" ref="R21:R25" si="3">G21+H21+O21</f>
        <v>18340</v>
      </c>
      <c r="S21" s="25">
        <f t="shared" si="0"/>
        <v>128380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4633</v>
      </c>
      <c r="F22" s="22"/>
      <c r="G22" s="23">
        <f t="shared" si="1"/>
        <v>4633</v>
      </c>
      <c r="H22" s="22">
        <f t="shared" si="2"/>
        <v>2316.5</v>
      </c>
      <c r="I22" s="24"/>
      <c r="J22" s="24"/>
      <c r="K22" s="22"/>
      <c r="L22" s="24"/>
      <c r="M22" s="24"/>
      <c r="N22" s="23"/>
      <c r="O22" s="23">
        <f>G22*200%</f>
        <v>9266</v>
      </c>
      <c r="P22" s="24"/>
      <c r="Q22" s="22"/>
      <c r="R22" s="23">
        <f t="shared" si="3"/>
        <v>16215.5</v>
      </c>
      <c r="S22" s="25">
        <f t="shared" si="0"/>
        <v>113508.5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E22/2</f>
        <v>2316.5</v>
      </c>
      <c r="F23" s="22"/>
      <c r="G23" s="23">
        <f t="shared" si="1"/>
        <v>2316.5</v>
      </c>
      <c r="H23" s="22">
        <f t="shared" si="2"/>
        <v>1158.25</v>
      </c>
      <c r="I23" s="24"/>
      <c r="J23" s="24"/>
      <c r="K23" s="22"/>
      <c r="L23" s="24"/>
      <c r="M23" s="24"/>
      <c r="N23" s="23"/>
      <c r="O23" s="23">
        <f>G23*150%</f>
        <v>3474.75</v>
      </c>
      <c r="P23" s="24"/>
      <c r="Q23" s="22"/>
      <c r="R23" s="23">
        <f t="shared" si="3"/>
        <v>6949.5</v>
      </c>
      <c r="S23" s="25">
        <f t="shared" si="0"/>
        <v>48646.5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4058</v>
      </c>
      <c r="F24" s="22"/>
      <c r="G24" s="23">
        <f t="shared" si="1"/>
        <v>4058</v>
      </c>
      <c r="H24" s="22">
        <f t="shared" si="2"/>
        <v>2029</v>
      </c>
      <c r="I24" s="24"/>
      <c r="J24" s="24"/>
      <c r="K24" s="22"/>
      <c r="L24" s="24"/>
      <c r="M24" s="24"/>
      <c r="N24" s="23"/>
      <c r="O24" s="23">
        <f>G24*200%</f>
        <v>8116</v>
      </c>
      <c r="P24" s="24"/>
      <c r="Q24" s="22"/>
      <c r="R24" s="23">
        <f t="shared" si="3"/>
        <v>14203</v>
      </c>
      <c r="S24" s="25">
        <f t="shared" si="0"/>
        <v>99421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5527</v>
      </c>
      <c r="F25" s="23"/>
      <c r="G25" s="23">
        <f t="shared" si="1"/>
        <v>5527</v>
      </c>
      <c r="H25" s="23">
        <f t="shared" si="2"/>
        <v>2763.5</v>
      </c>
      <c r="I25" s="23"/>
      <c r="J25" s="23"/>
      <c r="K25" s="23"/>
      <c r="L25" s="23"/>
      <c r="M25" s="23"/>
      <c r="N25" s="23"/>
      <c r="O25" s="23">
        <f>G25*150%</f>
        <v>8290.5</v>
      </c>
      <c r="P25" s="23"/>
      <c r="Q25" s="23"/>
      <c r="R25" s="23">
        <f t="shared" si="3"/>
        <v>16581</v>
      </c>
      <c r="S25" s="25">
        <f t="shared" si="0"/>
        <v>116067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4058*C26</f>
        <v>4058</v>
      </c>
      <c r="F26" s="22"/>
      <c r="G26" s="23">
        <f t="shared" si="1"/>
        <v>4058</v>
      </c>
      <c r="H26" s="22">
        <f t="shared" si="2"/>
        <v>2029</v>
      </c>
      <c r="I26" s="24"/>
      <c r="J26" s="24"/>
      <c r="K26" s="22"/>
      <c r="L26" s="24"/>
      <c r="M26" s="24"/>
      <c r="N26" s="23"/>
      <c r="O26" s="23">
        <f>G26*150%</f>
        <v>6087</v>
      </c>
      <c r="P26" s="24"/>
      <c r="Q26" s="22"/>
      <c r="R26" s="23">
        <f>G26+H26+O26</f>
        <v>12174</v>
      </c>
      <c r="S26" s="25">
        <f t="shared" si="0"/>
        <v>85218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137367.5</v>
      </c>
      <c r="F27" s="34"/>
      <c r="G27" s="35">
        <f>SUM(G14:G26)</f>
        <v>137367.5</v>
      </c>
      <c r="H27" s="34">
        <f>SUM(H14:H26)</f>
        <v>23683.75</v>
      </c>
      <c r="I27" s="90"/>
      <c r="J27" s="90"/>
      <c r="K27" s="34">
        <f>SUM(K14:K26)</f>
        <v>1744.5</v>
      </c>
      <c r="L27" s="90"/>
      <c r="M27" s="34">
        <f>SUM(M14:M26)</f>
        <v>3750</v>
      </c>
      <c r="N27" s="35"/>
      <c r="O27" s="35">
        <f>SUM(O14:O26)</f>
        <v>133784.25</v>
      </c>
      <c r="P27" s="90"/>
      <c r="Q27" s="34"/>
      <c r="R27" s="35">
        <f>SUM(R14:R26)</f>
        <v>300330</v>
      </c>
      <c r="S27" s="36">
        <f>SUM(S14:S26)</f>
        <v>2102310</v>
      </c>
    </row>
    <row r="28" spans="1:19" s="13" customFormat="1" ht="25.2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93"/>
    </row>
    <row r="29" spans="1:19" x14ac:dyDescent="0.25">
      <c r="A29" s="20" t="s">
        <v>61</v>
      </c>
      <c r="B29" s="21" t="s">
        <v>62</v>
      </c>
      <c r="C29" s="22">
        <v>0.5</v>
      </c>
      <c r="D29" s="22">
        <v>7</v>
      </c>
      <c r="E29" s="23">
        <f>4920*C29</f>
        <v>2460</v>
      </c>
      <c r="F29" s="22"/>
      <c r="G29" s="23">
        <f t="shared" ref="G29:G32" si="4">E29+F29</f>
        <v>2460</v>
      </c>
      <c r="H29" s="23"/>
      <c r="I29" s="23"/>
      <c r="J29" s="23"/>
      <c r="K29" s="23"/>
      <c r="L29" s="23"/>
      <c r="M29" s="23"/>
      <c r="N29" s="23"/>
      <c r="O29" s="23"/>
      <c r="P29" s="23">
        <f>8000*C29-G29</f>
        <v>1540</v>
      </c>
      <c r="Q29" s="23"/>
      <c r="R29" s="23">
        <f>G29+H29+I29+ J29+K29+L29+N29+O29+P29</f>
        <v>4000</v>
      </c>
      <c r="S29" s="25">
        <f>R29*7</f>
        <v>28000</v>
      </c>
    </row>
    <row r="30" spans="1:19" x14ac:dyDescent="0.25">
      <c r="A30" s="20" t="s">
        <v>61</v>
      </c>
      <c r="B30" s="21" t="s">
        <v>328</v>
      </c>
      <c r="C30" s="22">
        <v>0.5</v>
      </c>
      <c r="D30" s="22">
        <v>6</v>
      </c>
      <c r="E30" s="23">
        <f>4633*C30</f>
        <v>2316.5</v>
      </c>
      <c r="F30" s="22"/>
      <c r="G30" s="23">
        <f t="shared" si="4"/>
        <v>2316.5</v>
      </c>
      <c r="H30" s="23"/>
      <c r="I30" s="23"/>
      <c r="J30" s="23"/>
      <c r="K30" s="23"/>
      <c r="L30" s="23"/>
      <c r="M30" s="23"/>
      <c r="N30" s="23"/>
      <c r="O30" s="23"/>
      <c r="P30" s="23">
        <f>8000*C30-G30</f>
        <v>1683.5</v>
      </c>
      <c r="Q30" s="23"/>
      <c r="R30" s="23">
        <f>G30+H30+I30+ J30+K30+L30+N30+O30+P30</f>
        <v>4000</v>
      </c>
      <c r="S30" s="25">
        <f t="shared" ref="S30:S37" si="5">R30*7</f>
        <v>28000</v>
      </c>
    </row>
    <row r="31" spans="1:19" x14ac:dyDescent="0.25">
      <c r="A31" s="20" t="s">
        <v>63</v>
      </c>
      <c r="B31" s="21" t="s">
        <v>64</v>
      </c>
      <c r="C31" s="22">
        <v>0.5</v>
      </c>
      <c r="D31" s="22">
        <v>1</v>
      </c>
      <c r="E31" s="23">
        <f>3195*C31</f>
        <v>1597.5</v>
      </c>
      <c r="F31" s="22"/>
      <c r="G31" s="23">
        <f t="shared" si="4"/>
        <v>1597.5</v>
      </c>
      <c r="H31" s="23"/>
      <c r="I31" s="23"/>
      <c r="J31" s="23"/>
      <c r="K31" s="23"/>
      <c r="L31" s="23"/>
      <c r="M31" s="23"/>
      <c r="N31" s="23"/>
      <c r="O31" s="23"/>
      <c r="P31" s="23">
        <f>8000-G31</f>
        <v>6402.5</v>
      </c>
      <c r="Q31" s="23"/>
      <c r="R31" s="23">
        <f t="shared" ref="R31:R32" si="6">G31+H31+I31+ J31+K31+L31+N31+O31+P31</f>
        <v>8000</v>
      </c>
      <c r="S31" s="25">
        <f t="shared" si="5"/>
        <v>56000</v>
      </c>
    </row>
    <row r="32" spans="1:19" x14ac:dyDescent="0.25">
      <c r="A32" s="20" t="s">
        <v>65</v>
      </c>
      <c r="B32" s="21" t="s">
        <v>66</v>
      </c>
      <c r="C32" s="22">
        <v>1.5</v>
      </c>
      <c r="D32" s="22">
        <v>1</v>
      </c>
      <c r="E32" s="23">
        <f>3195*C32</f>
        <v>4792.5</v>
      </c>
      <c r="F32" s="22"/>
      <c r="G32" s="23">
        <f t="shared" si="4"/>
        <v>4792.5</v>
      </c>
      <c r="H32" s="23"/>
      <c r="I32" s="23"/>
      <c r="J32" s="23"/>
      <c r="K32" s="23"/>
      <c r="L32" s="23"/>
      <c r="M32" s="23"/>
      <c r="N32" s="23"/>
      <c r="O32" s="23"/>
      <c r="P32" s="23">
        <f t="shared" ref="P32" si="7">8000-G32</f>
        <v>3207.5</v>
      </c>
      <c r="Q32" s="23"/>
      <c r="R32" s="23">
        <f t="shared" si="6"/>
        <v>8000</v>
      </c>
      <c r="S32" s="25">
        <f t="shared" si="5"/>
        <v>56000</v>
      </c>
    </row>
    <row r="33" spans="1:19" x14ac:dyDescent="0.25">
      <c r="A33" s="20" t="s">
        <v>67</v>
      </c>
      <c r="B33" s="21" t="s">
        <v>68</v>
      </c>
      <c r="C33" s="22">
        <v>1.5</v>
      </c>
      <c r="D33" s="22">
        <v>3</v>
      </c>
      <c r="E33" s="23">
        <f>3770*C33</f>
        <v>5655</v>
      </c>
      <c r="F33" s="22"/>
      <c r="G33" s="23">
        <f t="shared" si="1"/>
        <v>5655</v>
      </c>
      <c r="H33" s="23"/>
      <c r="I33" s="23"/>
      <c r="J33" s="23"/>
      <c r="K33" s="23"/>
      <c r="L33" s="23"/>
      <c r="M33" s="23"/>
      <c r="N33" s="23"/>
      <c r="O33" s="23"/>
      <c r="P33" s="23">
        <f>8000*C33-G33</f>
        <v>6345</v>
      </c>
      <c r="Q33" s="23"/>
      <c r="R33" s="23">
        <f>G33+H33+I33+ J33+K33+L33+N33+O33+P33</f>
        <v>12000</v>
      </c>
      <c r="S33" s="25">
        <f t="shared" si="5"/>
        <v>84000</v>
      </c>
    </row>
    <row r="34" spans="1:19" ht="24" x14ac:dyDescent="0.25">
      <c r="A34" s="20" t="s">
        <v>67</v>
      </c>
      <c r="B34" s="21" t="s">
        <v>315</v>
      </c>
      <c r="C34" s="22">
        <v>0.5</v>
      </c>
      <c r="D34" s="22">
        <v>3</v>
      </c>
      <c r="E34" s="23">
        <f>3770*C34</f>
        <v>1885</v>
      </c>
      <c r="F34" s="22"/>
      <c r="G34" s="23">
        <f t="shared" si="1"/>
        <v>1885</v>
      </c>
      <c r="H34" s="23"/>
      <c r="I34" s="23"/>
      <c r="J34" s="23"/>
      <c r="K34" s="23"/>
      <c r="L34" s="23"/>
      <c r="M34" s="23"/>
      <c r="N34" s="23"/>
      <c r="O34" s="23"/>
      <c r="P34" s="23">
        <f>8000*C34-G34</f>
        <v>2115</v>
      </c>
      <c r="Q34" s="23"/>
      <c r="R34" s="23">
        <f>G34+H34+I34+ J34+K34+L34+N34+O34+P34</f>
        <v>4000</v>
      </c>
      <c r="S34" s="25">
        <f t="shared" si="5"/>
        <v>28000</v>
      </c>
    </row>
    <row r="35" spans="1:19" ht="12.6" customHeight="1" x14ac:dyDescent="0.25">
      <c r="A35" s="20" t="s">
        <v>69</v>
      </c>
      <c r="B35" s="21" t="s">
        <v>70</v>
      </c>
      <c r="C35" s="22">
        <v>1</v>
      </c>
      <c r="D35" s="22">
        <v>2</v>
      </c>
      <c r="E35" s="23">
        <v>3483</v>
      </c>
      <c r="F35" s="22">
        <f>E35*0.2</f>
        <v>696.6</v>
      </c>
      <c r="G35" s="23">
        <f t="shared" si="1"/>
        <v>4179.6000000000004</v>
      </c>
      <c r="H35" s="23"/>
      <c r="I35" s="23"/>
      <c r="J35" s="23">
        <f>G35*4%</f>
        <v>167.18400000000003</v>
      </c>
      <c r="K35" s="23"/>
      <c r="L35" s="23"/>
      <c r="M35" s="23"/>
      <c r="N35" s="23"/>
      <c r="O35" s="23"/>
      <c r="P35" s="23">
        <f>8000-E35</f>
        <v>4517</v>
      </c>
      <c r="Q35" s="23"/>
      <c r="R35" s="23">
        <f>G35+J35+P35</f>
        <v>8863.7839999999997</v>
      </c>
      <c r="S35" s="25">
        <f t="shared" si="5"/>
        <v>62046.487999999998</v>
      </c>
    </row>
    <row r="36" spans="1:19" ht="18" customHeight="1" x14ac:dyDescent="0.25">
      <c r="A36" s="20" t="s">
        <v>71</v>
      </c>
      <c r="B36" s="21" t="s">
        <v>72</v>
      </c>
      <c r="C36" s="22">
        <v>1</v>
      </c>
      <c r="D36" s="22">
        <v>1</v>
      </c>
      <c r="E36" s="23">
        <v>3195</v>
      </c>
      <c r="F36" s="22"/>
      <c r="G36" s="23">
        <f t="shared" si="1"/>
        <v>3195</v>
      </c>
      <c r="H36" s="23"/>
      <c r="I36" s="23"/>
      <c r="J36" s="23"/>
      <c r="K36" s="23"/>
      <c r="L36" s="23"/>
      <c r="M36" s="23"/>
      <c r="N36" s="23"/>
      <c r="O36" s="23"/>
      <c r="P36" s="23">
        <f>8000-G36</f>
        <v>4805</v>
      </c>
      <c r="Q36" s="23"/>
      <c r="R36" s="23">
        <f t="shared" ref="R36" si="8">G36+H36+I36+ J36+K36+L36+N36+O36+P36</f>
        <v>8000</v>
      </c>
      <c r="S36" s="25">
        <f t="shared" si="5"/>
        <v>56000</v>
      </c>
    </row>
    <row r="37" spans="1:19" x14ac:dyDescent="0.25">
      <c r="A37" s="20" t="s">
        <v>73</v>
      </c>
      <c r="B37" s="21" t="s">
        <v>74</v>
      </c>
      <c r="C37" s="22">
        <v>1</v>
      </c>
      <c r="D37" s="22">
        <v>5</v>
      </c>
      <c r="E37" s="23">
        <v>4345</v>
      </c>
      <c r="F37" s="23"/>
      <c r="G37" s="23">
        <f>E37+F37</f>
        <v>4345</v>
      </c>
      <c r="H37" s="23"/>
      <c r="I37" s="23"/>
      <c r="J37" s="23"/>
      <c r="K37" s="23"/>
      <c r="L37" s="23"/>
      <c r="M37" s="23"/>
      <c r="N37" s="23"/>
      <c r="O37" s="23"/>
      <c r="P37" s="23">
        <f>8000-G37</f>
        <v>3655</v>
      </c>
      <c r="Q37" s="32"/>
      <c r="R37" s="23">
        <f>G37+P37</f>
        <v>8000</v>
      </c>
      <c r="S37" s="25">
        <f t="shared" si="5"/>
        <v>56000</v>
      </c>
    </row>
    <row r="38" spans="1:19" s="27" customFormat="1" ht="20.399999999999999" customHeight="1" thickBot="1" x14ac:dyDescent="0.3">
      <c r="A38" s="64"/>
      <c r="B38" s="47" t="s">
        <v>59</v>
      </c>
      <c r="C38" s="34">
        <f>SUM(C29:C37)</f>
        <v>8</v>
      </c>
      <c r="D38" s="34"/>
      <c r="E38" s="35">
        <f>SUM(E29:E37)</f>
        <v>29729.5</v>
      </c>
      <c r="F38" s="34">
        <f>SUM(F29:F37)</f>
        <v>696.6</v>
      </c>
      <c r="G38" s="35">
        <f>E38+F38</f>
        <v>30426.1</v>
      </c>
      <c r="H38" s="35"/>
      <c r="I38" s="35">
        <f>SUM(I29:I36)</f>
        <v>0</v>
      </c>
      <c r="J38" s="35">
        <f>SUM(J29:J36)</f>
        <v>167.18400000000003</v>
      </c>
      <c r="K38" s="35"/>
      <c r="L38" s="35"/>
      <c r="M38" s="35"/>
      <c r="N38" s="35"/>
      <c r="O38" s="35"/>
      <c r="P38" s="35">
        <f>SUM(P29:P37)</f>
        <v>34270.5</v>
      </c>
      <c r="Q38" s="35"/>
      <c r="R38" s="35">
        <f>SUM(R29:R37)</f>
        <v>64863.784</v>
      </c>
      <c r="S38" s="36">
        <f>SUM(S29:S37)</f>
        <v>454046.48800000001</v>
      </c>
    </row>
    <row r="39" spans="1:19" ht="25.8" customHeight="1" x14ac:dyDescent="0.25">
      <c r="A39" s="18"/>
      <c r="B39" s="86" t="s">
        <v>75</v>
      </c>
      <c r="C39" s="85"/>
      <c r="D39" s="85"/>
      <c r="E39" s="85"/>
      <c r="F39" s="85"/>
      <c r="G39" s="94"/>
      <c r="H39" s="85" t="s">
        <v>76</v>
      </c>
      <c r="I39" s="95"/>
      <c r="J39" s="95"/>
      <c r="K39" s="85"/>
      <c r="L39" s="95"/>
      <c r="M39" s="95"/>
      <c r="N39" s="95"/>
      <c r="O39" s="95"/>
      <c r="P39" s="95"/>
      <c r="Q39" s="85"/>
      <c r="R39" s="85"/>
      <c r="S39" s="96"/>
    </row>
    <row r="40" spans="1:19" s="13" customFormat="1" x14ac:dyDescent="0.2">
      <c r="A40" s="28" t="s">
        <v>77</v>
      </c>
      <c r="B40" s="21" t="s">
        <v>78</v>
      </c>
      <c r="C40" s="22">
        <v>2.5</v>
      </c>
      <c r="D40" s="22">
        <v>2</v>
      </c>
      <c r="E40" s="23">
        <f>3483*C40</f>
        <v>8707.5</v>
      </c>
      <c r="F40" s="22"/>
      <c r="G40" s="23">
        <f t="shared" ref="G40:G41" si="9">E40+F40</f>
        <v>8707.5</v>
      </c>
      <c r="H40" s="23"/>
      <c r="I40" s="23"/>
      <c r="J40" s="23"/>
      <c r="K40" s="23"/>
      <c r="L40" s="23"/>
      <c r="M40" s="23"/>
      <c r="N40" s="23"/>
      <c r="O40" s="23"/>
      <c r="P40" s="23">
        <f>8000*C40-G40</f>
        <v>11292.5</v>
      </c>
      <c r="Q40" s="23"/>
      <c r="R40" s="23">
        <f t="shared" ref="R40" si="10">G40+H40+I40+ J40+K40+L40+N40+O40+P40</f>
        <v>20000</v>
      </c>
      <c r="S40" s="25">
        <f>R40*7</f>
        <v>140000</v>
      </c>
    </row>
    <row r="41" spans="1:19" s="37" customFormat="1" ht="16.8" customHeight="1" thickBot="1" x14ac:dyDescent="0.3">
      <c r="A41" s="33"/>
      <c r="B41" s="47" t="s">
        <v>59</v>
      </c>
      <c r="C41" s="34">
        <f>SUM(C40:C40)</f>
        <v>2.5</v>
      </c>
      <c r="D41" s="34"/>
      <c r="E41" s="35">
        <f>SUM(E40:E40)</f>
        <v>8707.5</v>
      </c>
      <c r="F41" s="34"/>
      <c r="G41" s="35">
        <f t="shared" si="9"/>
        <v>8707.5</v>
      </c>
      <c r="H41" s="35"/>
      <c r="I41" s="35"/>
      <c r="J41" s="35"/>
      <c r="K41" s="35"/>
      <c r="L41" s="35"/>
      <c r="M41" s="35"/>
      <c r="N41" s="35"/>
      <c r="O41" s="35"/>
      <c r="P41" s="35">
        <f>SUM(P40:P40)</f>
        <v>11292.5</v>
      </c>
      <c r="Q41" s="35"/>
      <c r="R41" s="35">
        <f>SUM(G41:Q41)</f>
        <v>20000</v>
      </c>
      <c r="S41" s="36">
        <f>SUM(S40:S40)</f>
        <v>140000</v>
      </c>
    </row>
    <row r="42" spans="1:19" s="38" customFormat="1" ht="26.4" customHeight="1" x14ac:dyDescent="0.25">
      <c r="A42" s="18"/>
      <c r="B42" s="86" t="s">
        <v>79</v>
      </c>
      <c r="C42" s="86"/>
      <c r="D42" s="86"/>
      <c r="E42" s="86"/>
      <c r="F42" s="86"/>
      <c r="G42" s="94"/>
      <c r="H42" s="86"/>
      <c r="I42" s="19"/>
      <c r="J42" s="19"/>
      <c r="K42" s="86"/>
      <c r="L42" s="19"/>
      <c r="M42" s="19"/>
      <c r="N42" s="19"/>
      <c r="O42" s="19"/>
      <c r="P42" s="19"/>
      <c r="Q42" s="86"/>
      <c r="R42" s="86"/>
      <c r="S42" s="87"/>
    </row>
    <row r="43" spans="1:19" s="38" customFormat="1" ht="16.95" customHeight="1" x14ac:dyDescent="0.25">
      <c r="A43" s="20" t="s">
        <v>80</v>
      </c>
      <c r="B43" s="21" t="s">
        <v>64</v>
      </c>
      <c r="C43" s="22">
        <v>0.5</v>
      </c>
      <c r="D43" s="22">
        <v>1</v>
      </c>
      <c r="E43" s="22">
        <v>1597.5</v>
      </c>
      <c r="F43" s="22"/>
      <c r="G43" s="22">
        <v>1597.5</v>
      </c>
      <c r="H43" s="22"/>
      <c r="I43" s="24"/>
      <c r="J43" s="24"/>
      <c r="K43" s="22"/>
      <c r="L43" s="24"/>
      <c r="M43" s="24"/>
      <c r="N43" s="24"/>
      <c r="O43" s="24"/>
      <c r="P43" s="23">
        <f>8000/2-G43</f>
        <v>2402.5</v>
      </c>
      <c r="Q43" s="22"/>
      <c r="R43" s="23">
        <f t="shared" ref="R43" si="11">G43+H43+I43+ J43+K43+L43+N43+O43+P43</f>
        <v>4000</v>
      </c>
      <c r="S43" s="25">
        <f>R43*7</f>
        <v>28000</v>
      </c>
    </row>
    <row r="44" spans="1:19" x14ac:dyDescent="0.25">
      <c r="A44" s="20" t="s">
        <v>81</v>
      </c>
      <c r="B44" s="21" t="s">
        <v>82</v>
      </c>
      <c r="C44" s="22">
        <v>2</v>
      </c>
      <c r="D44" s="22">
        <v>4</v>
      </c>
      <c r="E44" s="23">
        <f>4058*C44</f>
        <v>8116</v>
      </c>
      <c r="F44" s="22"/>
      <c r="G44" s="23">
        <f t="shared" ref="G44:G45" si="12">E44+F44</f>
        <v>8116</v>
      </c>
      <c r="H44" s="23"/>
      <c r="I44" s="23"/>
      <c r="J44" s="23">
        <f>G44*0.04</f>
        <v>324.64</v>
      </c>
      <c r="K44" s="23"/>
      <c r="L44" s="23"/>
      <c r="M44" s="23"/>
      <c r="N44" s="23"/>
      <c r="O44" s="23"/>
      <c r="P44" s="23">
        <f>8000*C44-G44</f>
        <v>7884</v>
      </c>
      <c r="Q44" s="23"/>
      <c r="R44" s="23">
        <f>SUM(G44:P44)</f>
        <v>16324.64</v>
      </c>
      <c r="S44" s="25">
        <f t="shared" ref="S44:S45" si="13">R44*7</f>
        <v>114272.48</v>
      </c>
    </row>
    <row r="45" spans="1:19" x14ac:dyDescent="0.25">
      <c r="A45" s="20" t="s">
        <v>83</v>
      </c>
      <c r="B45" s="21" t="s">
        <v>84</v>
      </c>
      <c r="C45" s="22">
        <v>2</v>
      </c>
      <c r="D45" s="22">
        <v>1</v>
      </c>
      <c r="E45" s="23">
        <f>3195*C45</f>
        <v>6390</v>
      </c>
      <c r="F45" s="22"/>
      <c r="G45" s="23">
        <f t="shared" si="12"/>
        <v>6390</v>
      </c>
      <c r="H45" s="23"/>
      <c r="I45" s="23">
        <f>G45*0.1</f>
        <v>639</v>
      </c>
      <c r="J45" s="23"/>
      <c r="K45" s="23"/>
      <c r="L45" s="23"/>
      <c r="M45" s="23"/>
      <c r="N45" s="23"/>
      <c r="O45" s="23"/>
      <c r="P45" s="23">
        <f>8000*C45-G45</f>
        <v>9610</v>
      </c>
      <c r="Q45" s="23"/>
      <c r="R45" s="23">
        <f>SUM(G45:P45)</f>
        <v>16639</v>
      </c>
      <c r="S45" s="25">
        <f t="shared" si="13"/>
        <v>116473</v>
      </c>
    </row>
    <row r="46" spans="1:19" s="37" customFormat="1" ht="18" customHeight="1" thickBot="1" x14ac:dyDescent="0.3">
      <c r="A46" s="33"/>
      <c r="B46" s="47" t="s">
        <v>59</v>
      </c>
      <c r="C46" s="34">
        <f>SUM(C43:C45)</f>
        <v>4.5</v>
      </c>
      <c r="D46" s="34"/>
      <c r="E46" s="35">
        <f>SUM(E43:E45)</f>
        <v>16103.5</v>
      </c>
      <c r="F46" s="34"/>
      <c r="G46" s="35">
        <f>SUM(G43:G45)</f>
        <v>16103.5</v>
      </c>
      <c r="H46" s="35"/>
      <c r="I46" s="35">
        <f>SUM(I45:I45)</f>
        <v>639</v>
      </c>
      <c r="J46" s="35">
        <f>SUM(J44:J45)</f>
        <v>324.64</v>
      </c>
      <c r="K46" s="35"/>
      <c r="L46" s="35"/>
      <c r="M46" s="35"/>
      <c r="N46" s="35"/>
      <c r="O46" s="35"/>
      <c r="P46" s="35">
        <f>SUM(P43:P45)</f>
        <v>19896.5</v>
      </c>
      <c r="Q46" s="35"/>
      <c r="R46" s="35">
        <f>SUM(R43:R45)</f>
        <v>36963.64</v>
      </c>
      <c r="S46" s="36">
        <f>SUM(S43:S45)</f>
        <v>258745.47999999998</v>
      </c>
    </row>
    <row r="47" spans="1:19" s="39" customFormat="1" ht="13.5" customHeight="1" x14ac:dyDescent="0.25">
      <c r="A47" s="98" t="s">
        <v>316</v>
      </c>
      <c r="B47" s="99" t="s">
        <v>85</v>
      </c>
      <c r="C47" s="100"/>
      <c r="D47" s="100"/>
      <c r="E47" s="101"/>
      <c r="F47" s="100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2"/>
    </row>
    <row r="48" spans="1:19" s="42" customFormat="1" x14ac:dyDescent="0.25">
      <c r="A48" s="43" t="s">
        <v>86</v>
      </c>
      <c r="B48" s="21" t="s">
        <v>87</v>
      </c>
      <c r="C48" s="22">
        <v>0.5</v>
      </c>
      <c r="D48" s="22">
        <v>10</v>
      </c>
      <c r="E48" s="23">
        <f>5815*C48</f>
        <v>2907.5</v>
      </c>
      <c r="F48" s="22"/>
      <c r="G48" s="23">
        <f>E48</f>
        <v>2907.5</v>
      </c>
      <c r="H48" s="23"/>
      <c r="I48" s="23"/>
      <c r="J48" s="40"/>
      <c r="K48" s="23">
        <f>G48*0.3</f>
        <v>872.25</v>
      </c>
      <c r="L48" s="41">
        <f>20000*C48-G48-K48</f>
        <v>6220.25</v>
      </c>
      <c r="M48" s="23"/>
      <c r="N48" s="23"/>
      <c r="O48" s="23"/>
      <c r="P48" s="23"/>
      <c r="Q48" s="23"/>
      <c r="R48" s="23">
        <f>G48+K48+L48</f>
        <v>10000</v>
      </c>
      <c r="S48" s="25">
        <f>R48*7</f>
        <v>70000</v>
      </c>
    </row>
    <row r="49" spans="1:20" s="42" customFormat="1" x14ac:dyDescent="0.25">
      <c r="A49" s="43" t="s">
        <v>88</v>
      </c>
      <c r="B49" s="21" t="s">
        <v>89</v>
      </c>
      <c r="C49" s="22">
        <v>3</v>
      </c>
      <c r="D49" s="22">
        <v>9</v>
      </c>
      <c r="E49" s="23">
        <f>5527*C49</f>
        <v>16581</v>
      </c>
      <c r="F49" s="22"/>
      <c r="G49" s="23">
        <f>E49</f>
        <v>16581</v>
      </c>
      <c r="H49" s="23"/>
      <c r="I49" s="23"/>
      <c r="J49" s="40"/>
      <c r="K49" s="23"/>
      <c r="L49" s="41">
        <f>15000*C49-G49-K49</f>
        <v>28419</v>
      </c>
      <c r="M49" s="23"/>
      <c r="N49" s="23"/>
      <c r="O49" s="23"/>
      <c r="P49" s="23"/>
      <c r="Q49" s="23"/>
      <c r="R49" s="23">
        <f>G49+K49+L49</f>
        <v>45000</v>
      </c>
      <c r="S49" s="25">
        <f t="shared" ref="S49:S53" si="14">R49*7</f>
        <v>315000</v>
      </c>
    </row>
    <row r="50" spans="1:20" s="42" customFormat="1" x14ac:dyDescent="0.25">
      <c r="A50" s="43" t="s">
        <v>90</v>
      </c>
      <c r="B50" s="21" t="s">
        <v>91</v>
      </c>
      <c r="C50" s="22">
        <v>1</v>
      </c>
      <c r="D50" s="22">
        <v>10</v>
      </c>
      <c r="E50" s="23">
        <v>5815</v>
      </c>
      <c r="F50" s="22"/>
      <c r="G50" s="23">
        <v>5815</v>
      </c>
      <c r="H50" s="23"/>
      <c r="I50" s="23"/>
      <c r="J50" s="40"/>
      <c r="K50" s="23">
        <f>G50*0.3</f>
        <v>1744.5</v>
      </c>
      <c r="L50" s="41">
        <f>13500-G50-K50</f>
        <v>5940.5</v>
      </c>
      <c r="M50" s="23"/>
      <c r="N50" s="23"/>
      <c r="O50" s="23"/>
      <c r="P50" s="23"/>
      <c r="Q50" s="23"/>
      <c r="R50" s="23">
        <f>G50+K50+L50</f>
        <v>13500</v>
      </c>
      <c r="S50" s="25">
        <f t="shared" si="14"/>
        <v>94500</v>
      </c>
    </row>
    <row r="51" spans="1:20" s="42" customFormat="1" x14ac:dyDescent="0.25">
      <c r="A51" s="43" t="s">
        <v>92</v>
      </c>
      <c r="B51" s="21" t="s">
        <v>93</v>
      </c>
      <c r="C51" s="22">
        <v>1</v>
      </c>
      <c r="D51" s="22">
        <v>4</v>
      </c>
      <c r="E51" s="23">
        <v>4058</v>
      </c>
      <c r="F51" s="22"/>
      <c r="G51" s="23">
        <v>4058</v>
      </c>
      <c r="H51" s="23"/>
      <c r="I51" s="23"/>
      <c r="J51" s="40"/>
      <c r="K51" s="23"/>
      <c r="L51" s="23"/>
      <c r="M51" s="23"/>
      <c r="N51" s="23"/>
      <c r="O51" s="23">
        <f>G51*200%</f>
        <v>8116</v>
      </c>
      <c r="P51" s="23"/>
      <c r="Q51" s="23"/>
      <c r="R51" s="23">
        <f>O51+G51</f>
        <v>12174</v>
      </c>
      <c r="S51" s="25">
        <f t="shared" si="14"/>
        <v>85218</v>
      </c>
    </row>
    <row r="52" spans="1:20" s="42" customFormat="1" x14ac:dyDescent="0.25">
      <c r="A52" s="43" t="s">
        <v>94</v>
      </c>
      <c r="B52" s="21" t="s">
        <v>95</v>
      </c>
      <c r="C52" s="22">
        <v>1</v>
      </c>
      <c r="D52" s="22">
        <v>5</v>
      </c>
      <c r="E52" s="23">
        <v>4345</v>
      </c>
      <c r="F52" s="23"/>
      <c r="G52" s="23">
        <f>E52+F52</f>
        <v>4345</v>
      </c>
      <c r="H52" s="23"/>
      <c r="I52" s="23"/>
      <c r="J52" s="23"/>
      <c r="K52" s="23"/>
      <c r="L52" s="23"/>
      <c r="M52" s="23"/>
      <c r="N52" s="23"/>
      <c r="O52" s="23"/>
      <c r="P52" s="23">
        <f>8000-G52</f>
        <v>3655</v>
      </c>
      <c r="Q52" s="32"/>
      <c r="R52" s="23">
        <f>G52+P52</f>
        <v>8000</v>
      </c>
      <c r="S52" s="25">
        <f t="shared" si="14"/>
        <v>56000</v>
      </c>
    </row>
    <row r="53" spans="1:20" x14ac:dyDescent="0.25">
      <c r="A53" s="43" t="s">
        <v>96</v>
      </c>
      <c r="B53" s="21" t="s">
        <v>97</v>
      </c>
      <c r="C53" s="22">
        <v>0.5</v>
      </c>
      <c r="D53" s="22">
        <v>9</v>
      </c>
      <c r="E53" s="23">
        <v>2763.5</v>
      </c>
      <c r="F53" s="22"/>
      <c r="G53" s="23">
        <f t="shared" ref="G53" si="15">E53+F53</f>
        <v>2763.5</v>
      </c>
      <c r="H53" s="23"/>
      <c r="I53" s="23"/>
      <c r="J53" s="23"/>
      <c r="K53" s="23">
        <f>G53*0.3</f>
        <v>829.05</v>
      </c>
      <c r="L53" s="23">
        <f>6750-G53-K53</f>
        <v>3157.45</v>
      </c>
      <c r="M53" s="23"/>
      <c r="N53" s="23"/>
      <c r="O53" s="23"/>
      <c r="P53" s="23"/>
      <c r="Q53" s="23"/>
      <c r="R53" s="23">
        <f>L53+K53+G53</f>
        <v>6750</v>
      </c>
      <c r="S53" s="25">
        <f t="shared" si="14"/>
        <v>47250</v>
      </c>
    </row>
    <row r="54" spans="1:20" s="45" customFormat="1" ht="13.8" customHeight="1" thickBot="1" x14ac:dyDescent="0.25">
      <c r="A54" s="103"/>
      <c r="B54" s="104" t="s">
        <v>59</v>
      </c>
      <c r="C54" s="105">
        <f>SUM(C48:C53)</f>
        <v>7</v>
      </c>
      <c r="D54" s="105"/>
      <c r="E54" s="106">
        <f>SUM(E48:E53)</f>
        <v>36470</v>
      </c>
      <c r="F54" s="105"/>
      <c r="G54" s="106">
        <f>SUM(G48:G53)</f>
        <v>36470</v>
      </c>
      <c r="H54" s="106"/>
      <c r="I54" s="106"/>
      <c r="J54" s="106"/>
      <c r="K54" s="106">
        <f>SUM(K48:K53)</f>
        <v>3445.8</v>
      </c>
      <c r="L54" s="106">
        <f>SUM(L48:L53)</f>
        <v>43737.2</v>
      </c>
      <c r="M54" s="106"/>
      <c r="N54" s="106"/>
      <c r="O54" s="106">
        <f>SUM(O48:O52)</f>
        <v>8116</v>
      </c>
      <c r="P54" s="106">
        <f>SUM(P48:P53)</f>
        <v>3655</v>
      </c>
      <c r="Q54" s="106"/>
      <c r="R54" s="106">
        <f>SUM(R48:R53)</f>
        <v>95424</v>
      </c>
      <c r="S54" s="107">
        <f>SUM(S48:S53)</f>
        <v>667968</v>
      </c>
    </row>
    <row r="55" spans="1:20" s="38" customFormat="1" ht="22.8" customHeight="1" x14ac:dyDescent="0.25">
      <c r="A55" s="108"/>
      <c r="B55" s="86" t="s">
        <v>98</v>
      </c>
      <c r="C55" s="85"/>
      <c r="D55" s="85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109"/>
      <c r="R55" s="94"/>
      <c r="S55" s="110"/>
      <c r="T55" s="46"/>
    </row>
    <row r="56" spans="1:20" s="38" customFormat="1" x14ac:dyDescent="0.25">
      <c r="A56" s="43" t="s">
        <v>99</v>
      </c>
      <c r="B56" s="21" t="s">
        <v>100</v>
      </c>
      <c r="C56" s="22">
        <v>0.25</v>
      </c>
      <c r="D56" s="22">
        <v>14</v>
      </c>
      <c r="E56" s="23">
        <f>7732*C56</f>
        <v>1933</v>
      </c>
      <c r="F56" s="23">
        <f>E56*10%</f>
        <v>193.3</v>
      </c>
      <c r="G56" s="23">
        <f>E56+F56</f>
        <v>2126.3000000000002</v>
      </c>
      <c r="H56" s="23"/>
      <c r="I56" s="23"/>
      <c r="J56" s="23"/>
      <c r="K56" s="23">
        <f>G56*0.3</f>
        <v>637.89</v>
      </c>
      <c r="L56" s="23">
        <f>20000*C56-G56-K56</f>
        <v>2235.81</v>
      </c>
      <c r="M56" s="23"/>
      <c r="N56" s="23"/>
      <c r="O56" s="23"/>
      <c r="P56" s="23"/>
      <c r="Q56" s="32"/>
      <c r="R56" s="23">
        <f>G56+K56+L56</f>
        <v>5000</v>
      </c>
      <c r="S56" s="25">
        <f>R56*7</f>
        <v>35000</v>
      </c>
      <c r="T56" s="46"/>
    </row>
    <row r="57" spans="1:20" s="38" customFormat="1" x14ac:dyDescent="0.25">
      <c r="A57" s="43" t="s">
        <v>101</v>
      </c>
      <c r="B57" s="21" t="s">
        <v>102</v>
      </c>
      <c r="C57" s="22">
        <v>0.5</v>
      </c>
      <c r="D57" s="22">
        <v>13</v>
      </c>
      <c r="E57" s="23">
        <v>3626</v>
      </c>
      <c r="F57" s="23">
        <f>E57*0.15</f>
        <v>543.9</v>
      </c>
      <c r="G57" s="23">
        <f>E57+F57</f>
        <v>4169.8999999999996</v>
      </c>
      <c r="H57" s="23"/>
      <c r="I57" s="23"/>
      <c r="J57" s="23"/>
      <c r="K57" s="23">
        <f>G57*0.3</f>
        <v>1250.9699999999998</v>
      </c>
      <c r="L57" s="23">
        <f>20000*C57-G57-K57</f>
        <v>4579.130000000001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ref="S57:S59" si="16">R57*7</f>
        <v>70000</v>
      </c>
      <c r="T57" s="46"/>
    </row>
    <row r="58" spans="1:20" s="38" customFormat="1" x14ac:dyDescent="0.25">
      <c r="A58" s="43" t="s">
        <v>103</v>
      </c>
      <c r="B58" s="21" t="s">
        <v>104</v>
      </c>
      <c r="C58" s="22">
        <v>0.5</v>
      </c>
      <c r="D58" s="22">
        <v>13</v>
      </c>
      <c r="E58" s="23">
        <v>3626</v>
      </c>
      <c r="F58" s="23">
        <f>E58*0.15</f>
        <v>543.9</v>
      </c>
      <c r="G58" s="23">
        <f>E58+F58</f>
        <v>4169.8999999999996</v>
      </c>
      <c r="H58" s="23"/>
      <c r="I58" s="23"/>
      <c r="J58" s="23"/>
      <c r="K58" s="23">
        <f>G58*0.3</f>
        <v>1250.9699999999998</v>
      </c>
      <c r="L58" s="23">
        <f>10000-G58-K58</f>
        <v>4579.130000000001</v>
      </c>
      <c r="M58" s="23"/>
      <c r="N58" s="23"/>
      <c r="O58" s="23"/>
      <c r="P58" s="23"/>
      <c r="Q58" s="32"/>
      <c r="R58" s="23">
        <f>G58+K58+L58</f>
        <v>10000</v>
      </c>
      <c r="S58" s="25">
        <f t="shared" si="16"/>
        <v>70000</v>
      </c>
      <c r="T58" s="46"/>
    </row>
    <row r="59" spans="1:20" s="38" customFormat="1" x14ac:dyDescent="0.25">
      <c r="A59" s="43" t="s">
        <v>105</v>
      </c>
      <c r="B59" s="21" t="s">
        <v>106</v>
      </c>
      <c r="C59" s="22">
        <v>1</v>
      </c>
      <c r="D59" s="22">
        <v>5</v>
      </c>
      <c r="E59" s="23">
        <v>4345</v>
      </c>
      <c r="F59" s="23"/>
      <c r="G59" s="23">
        <f>E59+F59</f>
        <v>4345</v>
      </c>
      <c r="H59" s="23"/>
      <c r="I59" s="23"/>
      <c r="J59" s="23"/>
      <c r="K59" s="23"/>
      <c r="L59" s="23"/>
      <c r="M59" s="23"/>
      <c r="N59" s="23"/>
      <c r="O59" s="23"/>
      <c r="P59" s="23">
        <f>8000-G59</f>
        <v>3655</v>
      </c>
      <c r="Q59" s="32"/>
      <c r="R59" s="23">
        <f>G59+P59</f>
        <v>8000</v>
      </c>
      <c r="S59" s="25">
        <f t="shared" si="16"/>
        <v>56000</v>
      </c>
      <c r="T59" s="46"/>
    </row>
    <row r="60" spans="1:20" s="49" customFormat="1" ht="20.399999999999999" customHeight="1" thickBot="1" x14ac:dyDescent="0.3">
      <c r="A60" s="64"/>
      <c r="B60" s="47" t="s">
        <v>59</v>
      </c>
      <c r="C60" s="34">
        <v>2.25</v>
      </c>
      <c r="D60" s="34"/>
      <c r="E60" s="35">
        <f>SUM(E56:E59)</f>
        <v>13530</v>
      </c>
      <c r="F60" s="35">
        <f t="shared" ref="F60" si="17">SUM(F56:F59)</f>
        <v>1281.0999999999999</v>
      </c>
      <c r="G60" s="35">
        <f>SUM(G56:G59)</f>
        <v>14811.099999999999</v>
      </c>
      <c r="H60" s="35"/>
      <c r="I60" s="35"/>
      <c r="J60" s="35"/>
      <c r="K60" s="35">
        <f t="shared" ref="K60:L60" si="18">SUM(K56:K59)</f>
        <v>3139.8299999999995</v>
      </c>
      <c r="L60" s="35">
        <f t="shared" si="18"/>
        <v>11394.070000000002</v>
      </c>
      <c r="M60" s="35"/>
      <c r="N60" s="35"/>
      <c r="O60" s="35"/>
      <c r="P60" s="35">
        <f t="shared" ref="P60:Q60" si="19">SUM(P56:P59)</f>
        <v>3655</v>
      </c>
      <c r="Q60" s="35">
        <f t="shared" si="19"/>
        <v>0</v>
      </c>
      <c r="R60" s="35">
        <f>SUM(G60:Q60)</f>
        <v>33000</v>
      </c>
      <c r="S60" s="36">
        <f>SUM(S56:S59)</f>
        <v>231000</v>
      </c>
      <c r="T60" s="48"/>
    </row>
    <row r="61" spans="1:20" ht="24" customHeight="1" x14ac:dyDescent="0.25">
      <c r="A61" s="18"/>
      <c r="B61" s="86" t="s">
        <v>107</v>
      </c>
      <c r="C61" s="86"/>
      <c r="D61" s="86"/>
      <c r="E61" s="92"/>
      <c r="F61" s="86"/>
      <c r="G61" s="94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3"/>
    </row>
    <row r="62" spans="1:20" s="13" customFormat="1" ht="38.4" customHeight="1" x14ac:dyDescent="0.2">
      <c r="A62" s="28"/>
      <c r="B62" s="29" t="s">
        <v>108</v>
      </c>
      <c r="C62" s="22"/>
      <c r="D62" s="22"/>
      <c r="E62" s="23"/>
      <c r="F62" s="22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5"/>
    </row>
    <row r="63" spans="1:20" ht="13.95" customHeight="1" x14ac:dyDescent="0.25">
      <c r="A63" s="20" t="s">
        <v>109</v>
      </c>
      <c r="B63" s="21" t="s">
        <v>110</v>
      </c>
      <c r="C63" s="22">
        <v>1</v>
      </c>
      <c r="D63" s="22">
        <v>11</v>
      </c>
      <c r="E63" s="23">
        <v>6294</v>
      </c>
      <c r="F63" s="22">
        <f>E63*0.25</f>
        <v>1573.5</v>
      </c>
      <c r="G63" s="23">
        <f t="shared" ref="G63:G126" si="20">E63+F63</f>
        <v>7867.5</v>
      </c>
      <c r="H63" s="23"/>
      <c r="I63" s="23"/>
      <c r="J63" s="23"/>
      <c r="K63" s="23">
        <f>G63*0.3</f>
        <v>2360.25</v>
      </c>
      <c r="L63" s="41">
        <f>20000-G63-K63</f>
        <v>9772.25</v>
      </c>
      <c r="M63" s="23"/>
      <c r="N63" s="23"/>
      <c r="O63" s="23"/>
      <c r="P63" s="23"/>
      <c r="Q63" s="23"/>
      <c r="R63" s="23">
        <f t="shared" ref="R63:R75" si="21">G63+K63+L63</f>
        <v>20000</v>
      </c>
      <c r="S63" s="25">
        <f>R63*7</f>
        <v>140000</v>
      </c>
    </row>
    <row r="64" spans="1:20" x14ac:dyDescent="0.25">
      <c r="A64" s="20" t="s">
        <v>111</v>
      </c>
      <c r="B64" s="21" t="s">
        <v>112</v>
      </c>
      <c r="C64" s="22">
        <v>1.25</v>
      </c>
      <c r="D64" s="22">
        <v>12</v>
      </c>
      <c r="E64" s="23">
        <f>6773*C64</f>
        <v>8466.25</v>
      </c>
      <c r="F64" s="22"/>
      <c r="G64" s="23">
        <f t="shared" si="20"/>
        <v>8466.25</v>
      </c>
      <c r="H64" s="23"/>
      <c r="I64" s="23"/>
      <c r="J64" s="23"/>
      <c r="K64" s="23">
        <f t="shared" ref="K64:K77" si="22">G64*0.3</f>
        <v>2539.875</v>
      </c>
      <c r="L64" s="23">
        <f>20000*C64-G64-K64</f>
        <v>13993.875</v>
      </c>
      <c r="M64" s="23"/>
      <c r="N64" s="23"/>
      <c r="O64" s="23"/>
      <c r="P64" s="23"/>
      <c r="Q64" s="23"/>
      <c r="R64" s="23">
        <f t="shared" si="21"/>
        <v>25000</v>
      </c>
      <c r="S64" s="25">
        <f t="shared" ref="S64:S80" si="23">R64*7</f>
        <v>175000</v>
      </c>
    </row>
    <row r="65" spans="1:20" x14ac:dyDescent="0.25">
      <c r="A65" s="20" t="s">
        <v>113</v>
      </c>
      <c r="B65" s="21" t="s">
        <v>114</v>
      </c>
      <c r="C65" s="22">
        <v>1</v>
      </c>
      <c r="D65" s="22">
        <v>14</v>
      </c>
      <c r="E65" s="23">
        <v>7732</v>
      </c>
      <c r="F65" s="22"/>
      <c r="G65" s="23">
        <f t="shared" si="20"/>
        <v>7732</v>
      </c>
      <c r="H65" s="23"/>
      <c r="I65" s="23"/>
      <c r="J65" s="23"/>
      <c r="K65" s="23">
        <f t="shared" si="22"/>
        <v>2319.6</v>
      </c>
      <c r="L65" s="41">
        <f>20000-G65-K65</f>
        <v>9948.4</v>
      </c>
      <c r="M65" s="23"/>
      <c r="N65" s="23"/>
      <c r="O65" s="23"/>
      <c r="P65" s="23"/>
      <c r="Q65" s="23"/>
      <c r="R65" s="23">
        <f t="shared" si="21"/>
        <v>20000</v>
      </c>
      <c r="S65" s="25">
        <f t="shared" si="23"/>
        <v>140000</v>
      </c>
    </row>
    <row r="66" spans="1:20" x14ac:dyDescent="0.25">
      <c r="A66" s="20" t="s">
        <v>115</v>
      </c>
      <c r="B66" s="21" t="s">
        <v>116</v>
      </c>
      <c r="C66" s="22">
        <v>0.5</v>
      </c>
      <c r="D66" s="22">
        <v>14</v>
      </c>
      <c r="E66" s="23">
        <v>3868</v>
      </c>
      <c r="F66" s="22"/>
      <c r="G66" s="23">
        <f t="shared" si="20"/>
        <v>3868</v>
      </c>
      <c r="H66" s="23"/>
      <c r="I66" s="23"/>
      <c r="J66" s="23"/>
      <c r="K66" s="23">
        <f t="shared" si="22"/>
        <v>1160.3999999999999</v>
      </c>
      <c r="L66" s="41">
        <f>20000/2-G66-K66</f>
        <v>4971.6000000000004</v>
      </c>
      <c r="M66" s="23"/>
      <c r="N66" s="23"/>
      <c r="O66" s="23"/>
      <c r="P66" s="23"/>
      <c r="Q66" s="23"/>
      <c r="R66" s="23">
        <f t="shared" si="21"/>
        <v>10000</v>
      </c>
      <c r="S66" s="25">
        <f t="shared" si="23"/>
        <v>70000</v>
      </c>
    </row>
    <row r="67" spans="1:20" x14ac:dyDescent="0.25">
      <c r="A67" s="20" t="s">
        <v>117</v>
      </c>
      <c r="B67" s="21" t="s">
        <v>118</v>
      </c>
      <c r="C67" s="22">
        <v>0.25</v>
      </c>
      <c r="D67" s="22">
        <v>14</v>
      </c>
      <c r="E67" s="23">
        <f>7732*C67</f>
        <v>1933</v>
      </c>
      <c r="F67" s="22"/>
      <c r="G67" s="23">
        <f t="shared" si="20"/>
        <v>1933</v>
      </c>
      <c r="H67" s="23"/>
      <c r="I67" s="23"/>
      <c r="J67" s="23"/>
      <c r="K67" s="23">
        <f t="shared" si="22"/>
        <v>579.9</v>
      </c>
      <c r="L67" s="41">
        <f>20000*C67-G67-K67</f>
        <v>2487.1</v>
      </c>
      <c r="M67" s="23"/>
      <c r="N67" s="23"/>
      <c r="O67" s="23"/>
      <c r="P67" s="23"/>
      <c r="Q67" s="23"/>
      <c r="R67" s="23">
        <f t="shared" si="21"/>
        <v>5000</v>
      </c>
      <c r="S67" s="25">
        <f t="shared" si="23"/>
        <v>35000</v>
      </c>
    </row>
    <row r="68" spans="1:20" x14ac:dyDescent="0.25">
      <c r="A68" s="20" t="s">
        <v>119</v>
      </c>
      <c r="B68" s="21" t="s">
        <v>120</v>
      </c>
      <c r="C68" s="22">
        <v>2.5</v>
      </c>
      <c r="D68" s="22">
        <v>13</v>
      </c>
      <c r="E68" s="23">
        <f>7253*C68</f>
        <v>18132.5</v>
      </c>
      <c r="F68" s="22"/>
      <c r="G68" s="23">
        <f t="shared" si="20"/>
        <v>18132.5</v>
      </c>
      <c r="H68" s="23"/>
      <c r="I68" s="23"/>
      <c r="J68" s="23"/>
      <c r="K68" s="23">
        <f t="shared" si="22"/>
        <v>5439.75</v>
      </c>
      <c r="L68" s="41">
        <f t="shared" ref="L68:L73" si="24">20000*C68-G68-K68-N68</f>
        <v>24229.85</v>
      </c>
      <c r="M68" s="23"/>
      <c r="N68" s="23">
        <f>879.16*C68</f>
        <v>2197.9</v>
      </c>
      <c r="O68" s="23"/>
      <c r="P68" s="23"/>
      <c r="Q68" s="23"/>
      <c r="R68" s="23">
        <f t="shared" ref="R68:R73" si="25">G68+K68+L68+N68</f>
        <v>50000</v>
      </c>
      <c r="S68" s="25">
        <f t="shared" si="23"/>
        <v>350000</v>
      </c>
    </row>
    <row r="69" spans="1:20" x14ac:dyDescent="0.25">
      <c r="A69" s="20" t="s">
        <v>119</v>
      </c>
      <c r="B69" s="21" t="s">
        <v>121</v>
      </c>
      <c r="C69" s="22">
        <v>0.5</v>
      </c>
      <c r="D69" s="22">
        <v>14</v>
      </c>
      <c r="E69" s="23">
        <f>7732*C69</f>
        <v>3866</v>
      </c>
      <c r="F69" s="22"/>
      <c r="G69" s="23">
        <f t="shared" si="20"/>
        <v>3866</v>
      </c>
      <c r="H69" s="23"/>
      <c r="I69" s="23"/>
      <c r="J69" s="23"/>
      <c r="K69" s="23">
        <f t="shared" si="22"/>
        <v>1159.8</v>
      </c>
      <c r="L69" s="41">
        <f t="shared" si="24"/>
        <v>4505.5999999999995</v>
      </c>
      <c r="M69" s="23"/>
      <c r="N69" s="23">
        <v>468.6</v>
      </c>
      <c r="O69" s="23"/>
      <c r="P69" s="23"/>
      <c r="Q69" s="23"/>
      <c r="R69" s="23">
        <f t="shared" si="25"/>
        <v>10000</v>
      </c>
      <c r="S69" s="25">
        <f t="shared" si="23"/>
        <v>70000</v>
      </c>
    </row>
    <row r="70" spans="1:20" x14ac:dyDescent="0.25">
      <c r="A70" s="20" t="s">
        <v>119</v>
      </c>
      <c r="B70" s="21" t="s">
        <v>122</v>
      </c>
      <c r="C70" s="22">
        <v>0.25</v>
      </c>
      <c r="D70" s="22">
        <v>14</v>
      </c>
      <c r="E70" s="23">
        <f>7732*C70</f>
        <v>1933</v>
      </c>
      <c r="F70" s="22"/>
      <c r="G70" s="23">
        <f t="shared" si="20"/>
        <v>1933</v>
      </c>
      <c r="H70" s="23"/>
      <c r="I70" s="23"/>
      <c r="J70" s="23"/>
      <c r="K70" s="23">
        <f t="shared" si="22"/>
        <v>579.9</v>
      </c>
      <c r="L70" s="41">
        <f t="shared" si="24"/>
        <v>2252.7999999999997</v>
      </c>
      <c r="M70" s="23"/>
      <c r="N70" s="23">
        <v>234.3</v>
      </c>
      <c r="O70" s="23"/>
      <c r="P70" s="23"/>
      <c r="Q70" s="23"/>
      <c r="R70" s="23">
        <f t="shared" si="25"/>
        <v>5000</v>
      </c>
      <c r="S70" s="25">
        <f t="shared" si="23"/>
        <v>35000</v>
      </c>
    </row>
    <row r="71" spans="1:20" x14ac:dyDescent="0.25">
      <c r="A71" s="20" t="s">
        <v>119</v>
      </c>
      <c r="B71" s="21" t="s">
        <v>123</v>
      </c>
      <c r="C71" s="22">
        <v>0.5</v>
      </c>
      <c r="D71" s="22">
        <v>14</v>
      </c>
      <c r="E71" s="23">
        <f>7732*C71</f>
        <v>3866</v>
      </c>
      <c r="F71" s="22"/>
      <c r="G71" s="23">
        <f t="shared" si="20"/>
        <v>3866</v>
      </c>
      <c r="H71" s="23"/>
      <c r="I71" s="23"/>
      <c r="J71" s="23"/>
      <c r="K71" s="23">
        <f t="shared" si="22"/>
        <v>1159.8</v>
      </c>
      <c r="L71" s="41">
        <f t="shared" si="24"/>
        <v>4739.8999999999996</v>
      </c>
      <c r="M71" s="23"/>
      <c r="N71" s="23">
        <v>234.3</v>
      </c>
      <c r="O71" s="23"/>
      <c r="P71" s="23"/>
      <c r="Q71" s="23"/>
      <c r="R71" s="23">
        <f t="shared" si="25"/>
        <v>10000</v>
      </c>
      <c r="S71" s="25">
        <f t="shared" si="23"/>
        <v>70000</v>
      </c>
    </row>
    <row r="72" spans="1:20" x14ac:dyDescent="0.25">
      <c r="A72" s="20" t="s">
        <v>119</v>
      </c>
      <c r="B72" s="21" t="s">
        <v>124</v>
      </c>
      <c r="C72" s="22">
        <v>1</v>
      </c>
      <c r="D72" s="22">
        <v>14</v>
      </c>
      <c r="E72" s="23">
        <f>7732*C72</f>
        <v>7732</v>
      </c>
      <c r="F72" s="22"/>
      <c r="G72" s="23">
        <f t="shared" si="20"/>
        <v>7732</v>
      </c>
      <c r="H72" s="23"/>
      <c r="I72" s="23"/>
      <c r="J72" s="23"/>
      <c r="K72" s="23">
        <f t="shared" si="22"/>
        <v>2319.6</v>
      </c>
      <c r="L72" s="41">
        <f t="shared" si="24"/>
        <v>9011.1999999999989</v>
      </c>
      <c r="M72" s="23"/>
      <c r="N72" s="23">
        <v>937.2</v>
      </c>
      <c r="O72" s="23"/>
      <c r="P72" s="23"/>
      <c r="Q72" s="23"/>
      <c r="R72" s="23">
        <f t="shared" si="25"/>
        <v>20000</v>
      </c>
      <c r="S72" s="25">
        <f t="shared" si="23"/>
        <v>140000</v>
      </c>
    </row>
    <row r="73" spans="1:20" x14ac:dyDescent="0.25">
      <c r="A73" s="20" t="s">
        <v>119</v>
      </c>
      <c r="B73" s="21" t="s">
        <v>125</v>
      </c>
      <c r="C73" s="22">
        <v>0.5</v>
      </c>
      <c r="D73" s="22">
        <v>13</v>
      </c>
      <c r="E73" s="23">
        <f>7253*C73</f>
        <v>3626.5</v>
      </c>
      <c r="F73" s="22"/>
      <c r="G73" s="23">
        <f t="shared" si="20"/>
        <v>3626.5</v>
      </c>
      <c r="H73" s="23"/>
      <c r="I73" s="23"/>
      <c r="J73" s="23"/>
      <c r="K73" s="23">
        <f t="shared" si="22"/>
        <v>1087.95</v>
      </c>
      <c r="L73" s="41">
        <f t="shared" si="24"/>
        <v>4845.97</v>
      </c>
      <c r="M73" s="23"/>
      <c r="N73" s="23">
        <f>879.16*C73</f>
        <v>439.58</v>
      </c>
      <c r="O73" s="23"/>
      <c r="P73" s="23"/>
      <c r="Q73" s="23"/>
      <c r="R73" s="23">
        <f t="shared" si="25"/>
        <v>10000</v>
      </c>
      <c r="S73" s="25">
        <f t="shared" si="23"/>
        <v>70000</v>
      </c>
    </row>
    <row r="74" spans="1:20" s="13" customFormat="1" x14ac:dyDescent="0.25">
      <c r="A74" s="20" t="s">
        <v>119</v>
      </c>
      <c r="B74" s="21" t="s">
        <v>126</v>
      </c>
      <c r="C74" s="22">
        <v>0.25</v>
      </c>
      <c r="D74" s="22">
        <v>14</v>
      </c>
      <c r="E74" s="23">
        <f>7732*C74</f>
        <v>1933</v>
      </c>
      <c r="F74" s="22"/>
      <c r="G74" s="23">
        <f>E74+F74</f>
        <v>1933</v>
      </c>
      <c r="H74" s="23"/>
      <c r="I74" s="23"/>
      <c r="J74" s="23"/>
      <c r="K74" s="23">
        <f t="shared" si="22"/>
        <v>579.9</v>
      </c>
      <c r="L74" s="23">
        <f>20000*C74-G74-K74</f>
        <v>2487.1</v>
      </c>
      <c r="M74" s="23"/>
      <c r="N74" s="23">
        <v>234.3</v>
      </c>
      <c r="O74" s="23"/>
      <c r="P74" s="23"/>
      <c r="Q74" s="23"/>
      <c r="R74" s="23">
        <f>G74+K74+L74</f>
        <v>5000</v>
      </c>
      <c r="S74" s="25">
        <f t="shared" si="23"/>
        <v>35000</v>
      </c>
      <c r="T74" s="52"/>
    </row>
    <row r="75" spans="1:20" x14ac:dyDescent="0.25">
      <c r="A75" s="20" t="s">
        <v>127</v>
      </c>
      <c r="B75" s="21" t="s">
        <v>128</v>
      </c>
      <c r="C75" s="22">
        <v>1</v>
      </c>
      <c r="D75" s="22">
        <v>9</v>
      </c>
      <c r="E75" s="23">
        <v>5527</v>
      </c>
      <c r="F75" s="22">
        <f>E75*0.1</f>
        <v>552.70000000000005</v>
      </c>
      <c r="G75" s="23">
        <f t="shared" si="20"/>
        <v>6079.7</v>
      </c>
      <c r="H75" s="23"/>
      <c r="I75" s="23"/>
      <c r="J75" s="23"/>
      <c r="K75" s="23">
        <f t="shared" si="22"/>
        <v>1823.9099999999999</v>
      </c>
      <c r="L75" s="41">
        <v>5596.39</v>
      </c>
      <c r="M75" s="23"/>
      <c r="N75" s="23"/>
      <c r="O75" s="23"/>
      <c r="P75" s="23"/>
      <c r="Q75" s="23"/>
      <c r="R75" s="23">
        <f t="shared" si="21"/>
        <v>13500</v>
      </c>
      <c r="S75" s="25">
        <f t="shared" si="23"/>
        <v>94500</v>
      </c>
    </row>
    <row r="76" spans="1:20" x14ac:dyDescent="0.25">
      <c r="A76" s="20" t="s">
        <v>129</v>
      </c>
      <c r="B76" s="21" t="s">
        <v>130</v>
      </c>
      <c r="C76" s="22">
        <v>10</v>
      </c>
      <c r="D76" s="22">
        <v>9</v>
      </c>
      <c r="E76" s="23">
        <f>5527*C76</f>
        <v>55270</v>
      </c>
      <c r="F76" s="22"/>
      <c r="G76" s="23">
        <f t="shared" si="20"/>
        <v>55270</v>
      </c>
      <c r="H76" s="23"/>
      <c r="I76" s="23">
        <f t="shared" ref="I76:I78" si="26">G76*0.1</f>
        <v>5527</v>
      </c>
      <c r="J76" s="23"/>
      <c r="K76" s="23">
        <f t="shared" si="22"/>
        <v>16581</v>
      </c>
      <c r="L76" s="41">
        <f>13500*C76-G76-I76-K76-N76</f>
        <v>50922.6</v>
      </c>
      <c r="M76" s="23"/>
      <c r="N76" s="23">
        <f>669.94*C76</f>
        <v>6699.4000000000005</v>
      </c>
      <c r="O76" s="23"/>
      <c r="P76" s="23"/>
      <c r="Q76" s="23"/>
      <c r="R76" s="23">
        <f>G76+I76+K76+L76+N76</f>
        <v>135000</v>
      </c>
      <c r="S76" s="25">
        <f t="shared" si="23"/>
        <v>945000</v>
      </c>
    </row>
    <row r="77" spans="1:20" x14ac:dyDescent="0.25">
      <c r="A77" s="20" t="s">
        <v>131</v>
      </c>
      <c r="B77" s="21" t="s">
        <v>132</v>
      </c>
      <c r="C77" s="22">
        <v>1</v>
      </c>
      <c r="D77" s="22">
        <v>6</v>
      </c>
      <c r="E77" s="23">
        <v>4633</v>
      </c>
      <c r="F77" s="22"/>
      <c r="G77" s="23">
        <f t="shared" si="20"/>
        <v>4633</v>
      </c>
      <c r="H77" s="23"/>
      <c r="I77" s="23">
        <f t="shared" si="26"/>
        <v>463.3</v>
      </c>
      <c r="J77" s="23"/>
      <c r="K77" s="23">
        <f t="shared" si="22"/>
        <v>1389.8999999999999</v>
      </c>
      <c r="L77" s="41">
        <f t="shared" ref="L77" si="27">13500-G77-I77-K77</f>
        <v>7013.8000000000011</v>
      </c>
      <c r="M77" s="23"/>
      <c r="N77" s="23"/>
      <c r="O77" s="23"/>
      <c r="P77" s="23"/>
      <c r="Q77" s="23"/>
      <c r="R77" s="23">
        <f t="shared" ref="R77" si="28">G77+I77+K77+L77</f>
        <v>13500</v>
      </c>
      <c r="S77" s="25">
        <f t="shared" si="23"/>
        <v>94500</v>
      </c>
    </row>
    <row r="78" spans="1:20" x14ac:dyDescent="0.25">
      <c r="A78" s="20" t="s">
        <v>133</v>
      </c>
      <c r="B78" s="21" t="s">
        <v>134</v>
      </c>
      <c r="C78" s="22">
        <v>6</v>
      </c>
      <c r="D78" s="22">
        <v>4</v>
      </c>
      <c r="E78" s="23">
        <f>4058*C78</f>
        <v>24348</v>
      </c>
      <c r="F78" s="22"/>
      <c r="G78" s="23">
        <f t="shared" si="20"/>
        <v>24348</v>
      </c>
      <c r="H78" s="23"/>
      <c r="I78" s="23">
        <f t="shared" si="26"/>
        <v>2434.8000000000002</v>
      </c>
      <c r="J78" s="23"/>
      <c r="K78" s="23"/>
      <c r="L78" s="23"/>
      <c r="M78" s="23"/>
      <c r="N78" s="23">
        <f>475.33*C78</f>
        <v>2851.98</v>
      </c>
      <c r="O78" s="23"/>
      <c r="P78" s="23">
        <f>8000*C78-G78</f>
        <v>23652</v>
      </c>
      <c r="Q78" s="23"/>
      <c r="R78" s="23">
        <f>E78+I78+P78+N78</f>
        <v>53286.780000000006</v>
      </c>
      <c r="S78" s="25">
        <f t="shared" si="23"/>
        <v>373007.46</v>
      </c>
    </row>
    <row r="79" spans="1:20" x14ac:dyDescent="0.25">
      <c r="A79" s="20" t="s">
        <v>135</v>
      </c>
      <c r="B79" s="21" t="s">
        <v>136</v>
      </c>
      <c r="C79" s="22">
        <v>1</v>
      </c>
      <c r="D79" s="22">
        <v>3</v>
      </c>
      <c r="E79" s="23">
        <v>3770</v>
      </c>
      <c r="F79" s="22"/>
      <c r="G79" s="23">
        <f t="shared" si="20"/>
        <v>3770</v>
      </c>
      <c r="H79" s="23"/>
      <c r="I79" s="23"/>
      <c r="J79" s="23"/>
      <c r="K79" s="23"/>
      <c r="L79" s="23"/>
      <c r="M79" s="23"/>
      <c r="N79" s="23"/>
      <c r="O79" s="23"/>
      <c r="P79" s="23">
        <f t="shared" ref="P79:P80" si="29">8000-G79</f>
        <v>4230</v>
      </c>
      <c r="Q79" s="23"/>
      <c r="R79" s="23">
        <f>G79+P79</f>
        <v>8000</v>
      </c>
      <c r="S79" s="25">
        <f t="shared" si="23"/>
        <v>56000</v>
      </c>
      <c r="T79" s="53"/>
    </row>
    <row r="80" spans="1:20" x14ac:dyDescent="0.25">
      <c r="A80" s="20" t="s">
        <v>137</v>
      </c>
      <c r="B80" s="21" t="s">
        <v>138</v>
      </c>
      <c r="C80" s="22">
        <v>1</v>
      </c>
      <c r="D80" s="22">
        <v>4</v>
      </c>
      <c r="E80" s="23">
        <v>4058</v>
      </c>
      <c r="F80" s="22"/>
      <c r="G80" s="23">
        <f t="shared" si="20"/>
        <v>4058</v>
      </c>
      <c r="H80" s="23"/>
      <c r="I80" s="23"/>
      <c r="J80" s="23"/>
      <c r="K80" s="23"/>
      <c r="L80" s="23"/>
      <c r="M80" s="23"/>
      <c r="N80" s="23"/>
      <c r="O80" s="23"/>
      <c r="P80" s="23">
        <f t="shared" si="29"/>
        <v>3942</v>
      </c>
      <c r="Q80" s="23"/>
      <c r="R80" s="23">
        <f>G80+P80</f>
        <v>8000</v>
      </c>
      <c r="S80" s="25">
        <f t="shared" si="23"/>
        <v>56000</v>
      </c>
      <c r="T80" s="53"/>
    </row>
    <row r="81" spans="1:20" s="27" customFormat="1" ht="24.6" customHeight="1" thickBot="1" x14ac:dyDescent="0.3">
      <c r="A81" s="64"/>
      <c r="B81" s="47" t="s">
        <v>59</v>
      </c>
      <c r="C81" s="34">
        <f>SUM(C63:C80)</f>
        <v>29.5</v>
      </c>
      <c r="D81" s="34"/>
      <c r="E81" s="35">
        <f>SUM(E63:E80)</f>
        <v>166988.25</v>
      </c>
      <c r="F81" s="34">
        <f>SUM(F63:F80)</f>
        <v>2126.1999999999998</v>
      </c>
      <c r="G81" s="35">
        <f>SUM(G63:G80)</f>
        <v>169114.45</v>
      </c>
      <c r="H81" s="35"/>
      <c r="I81" s="35">
        <f>SUM(I63:I80)</f>
        <v>8425.1</v>
      </c>
      <c r="J81" s="35"/>
      <c r="K81" s="35">
        <f>SUM(K63:K80)</f>
        <v>41081.534999999996</v>
      </c>
      <c r="L81" s="35">
        <f>SUM(L63:L80)</f>
        <v>156778.435</v>
      </c>
      <c r="M81" s="35"/>
      <c r="N81" s="35">
        <f>SUM(N68:N80)</f>
        <v>14297.560000000001</v>
      </c>
      <c r="O81" s="35"/>
      <c r="P81" s="35">
        <f>SUM(P63:P80)</f>
        <v>31824</v>
      </c>
      <c r="Q81" s="35"/>
      <c r="R81" s="35">
        <f>SUM(R63:R80)</f>
        <v>421286.78</v>
      </c>
      <c r="S81" s="36">
        <f>SUM(S63:S80)</f>
        <v>2949007.46</v>
      </c>
      <c r="T81" s="54"/>
    </row>
    <row r="82" spans="1:20" s="13" customFormat="1" ht="27.6" customHeight="1" x14ac:dyDescent="0.2">
      <c r="A82" s="18"/>
      <c r="B82" s="55" t="s">
        <v>139</v>
      </c>
      <c r="C82" s="85"/>
      <c r="D82" s="85"/>
      <c r="E82" s="94"/>
      <c r="F82" s="85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110"/>
      <c r="T82" s="52"/>
    </row>
    <row r="83" spans="1:20" s="13" customFormat="1" x14ac:dyDescent="0.25">
      <c r="A83" s="20" t="s">
        <v>140</v>
      </c>
      <c r="B83" s="21" t="s">
        <v>100</v>
      </c>
      <c r="C83" s="22">
        <v>1</v>
      </c>
      <c r="D83" s="22">
        <v>12</v>
      </c>
      <c r="E83" s="23">
        <v>6773</v>
      </c>
      <c r="F83" s="22">
        <f>E83*0.25</f>
        <v>1693.25</v>
      </c>
      <c r="G83" s="23">
        <f t="shared" ref="G83:G110" si="30">E83+F83</f>
        <v>8466.25</v>
      </c>
      <c r="H83" s="23"/>
      <c r="I83" s="23"/>
      <c r="J83" s="23"/>
      <c r="K83" s="23">
        <f>G83*0.3</f>
        <v>2539.875</v>
      </c>
      <c r="L83" s="23">
        <f t="shared" ref="L83" si="31">20000-G83-K83</f>
        <v>8993.875</v>
      </c>
      <c r="M83" s="23"/>
      <c r="N83" s="23"/>
      <c r="O83" s="23"/>
      <c r="P83" s="23"/>
      <c r="Q83" s="23"/>
      <c r="R83" s="23">
        <f t="shared" ref="R83:R85" si="32">G83+K83+L83</f>
        <v>20000</v>
      </c>
      <c r="S83" s="25">
        <f>R83*7</f>
        <v>140000</v>
      </c>
      <c r="T83" s="52"/>
    </row>
    <row r="84" spans="1:20" s="13" customFormat="1" x14ac:dyDescent="0.25">
      <c r="A84" s="20" t="s">
        <v>141</v>
      </c>
      <c r="B84" s="21" t="s">
        <v>142</v>
      </c>
      <c r="C84" s="22">
        <v>1.5</v>
      </c>
      <c r="D84" s="22">
        <v>14</v>
      </c>
      <c r="E84" s="23">
        <v>11598</v>
      </c>
      <c r="F84" s="22"/>
      <c r="G84" s="23">
        <f t="shared" si="30"/>
        <v>11598</v>
      </c>
      <c r="H84" s="23"/>
      <c r="I84" s="23"/>
      <c r="J84" s="23"/>
      <c r="K84" s="23">
        <f t="shared" ref="K84:K108" si="33">G84*0.3</f>
        <v>3479.4</v>
      </c>
      <c r="L84" s="23">
        <f>30000-G84-K84</f>
        <v>14922.6</v>
      </c>
      <c r="M84" s="23"/>
      <c r="N84" s="23"/>
      <c r="O84" s="23"/>
      <c r="P84" s="23"/>
      <c r="Q84" s="23"/>
      <c r="R84" s="23">
        <f t="shared" si="32"/>
        <v>30000</v>
      </c>
      <c r="S84" s="25">
        <f t="shared" ref="S84:S110" si="34">R84*7</f>
        <v>210000</v>
      </c>
      <c r="T84" s="52"/>
    </row>
    <row r="85" spans="1:20" s="13" customFormat="1" x14ac:dyDescent="0.25">
      <c r="A85" s="20" t="s">
        <v>143</v>
      </c>
      <c r="B85" s="21" t="s">
        <v>144</v>
      </c>
      <c r="C85" s="22">
        <v>1</v>
      </c>
      <c r="D85" s="22">
        <v>12</v>
      </c>
      <c r="E85" s="23">
        <v>6773</v>
      </c>
      <c r="F85" s="23">
        <f>E85*0.15</f>
        <v>1015.9499999999999</v>
      </c>
      <c r="G85" s="23">
        <f t="shared" si="30"/>
        <v>7788.95</v>
      </c>
      <c r="H85" s="23"/>
      <c r="I85" s="23"/>
      <c r="J85" s="23"/>
      <c r="K85" s="23">
        <f t="shared" si="33"/>
        <v>2336.6849999999999</v>
      </c>
      <c r="L85" s="23">
        <f t="shared" ref="L85" si="35">20000-G85-K85</f>
        <v>9874.3649999999998</v>
      </c>
      <c r="M85" s="23"/>
      <c r="N85" s="23"/>
      <c r="O85" s="23"/>
      <c r="P85" s="23"/>
      <c r="Q85" s="23"/>
      <c r="R85" s="23">
        <f t="shared" si="32"/>
        <v>20000</v>
      </c>
      <c r="S85" s="25">
        <f t="shared" si="34"/>
        <v>140000</v>
      </c>
      <c r="T85" s="52"/>
    </row>
    <row r="86" spans="1:20" s="13" customFormat="1" x14ac:dyDescent="0.25">
      <c r="A86" s="20" t="s">
        <v>145</v>
      </c>
      <c r="B86" s="21" t="s">
        <v>146</v>
      </c>
      <c r="C86" s="22">
        <v>1</v>
      </c>
      <c r="D86" s="22">
        <v>11</v>
      </c>
      <c r="E86" s="23">
        <v>6294</v>
      </c>
      <c r="F86" s="22"/>
      <c r="G86" s="23">
        <f t="shared" si="30"/>
        <v>6294</v>
      </c>
      <c r="H86" s="23"/>
      <c r="I86" s="23"/>
      <c r="J86" s="23"/>
      <c r="K86" s="23">
        <f t="shared" si="33"/>
        <v>1888.1999999999998</v>
      </c>
      <c r="L86" s="23">
        <f>20000-G86-K86</f>
        <v>11817.8</v>
      </c>
      <c r="M86" s="23"/>
      <c r="N86" s="23"/>
      <c r="O86" s="23"/>
      <c r="P86" s="23"/>
      <c r="Q86" s="23"/>
      <c r="R86" s="23">
        <f>G86+K86+L86</f>
        <v>20000</v>
      </c>
      <c r="S86" s="25">
        <f t="shared" si="34"/>
        <v>140000</v>
      </c>
      <c r="T86" s="52"/>
    </row>
    <row r="87" spans="1:20" s="13" customFormat="1" x14ac:dyDescent="0.25">
      <c r="A87" s="20" t="s">
        <v>147</v>
      </c>
      <c r="B87" s="21" t="s">
        <v>148</v>
      </c>
      <c r="C87" s="22">
        <v>1.5</v>
      </c>
      <c r="D87" s="22">
        <v>11</v>
      </c>
      <c r="E87" s="23">
        <v>6294</v>
      </c>
      <c r="F87" s="22"/>
      <c r="G87" s="23">
        <f t="shared" si="30"/>
        <v>6294</v>
      </c>
      <c r="H87" s="23"/>
      <c r="I87" s="23"/>
      <c r="J87" s="23"/>
      <c r="K87" s="23">
        <f t="shared" si="33"/>
        <v>1888.1999999999998</v>
      </c>
      <c r="L87" s="23">
        <f t="shared" ref="L87" si="36">20000-G87-K87</f>
        <v>11817.8</v>
      </c>
      <c r="M87" s="23"/>
      <c r="N87" s="23"/>
      <c r="O87" s="23"/>
      <c r="P87" s="23"/>
      <c r="Q87" s="23"/>
      <c r="R87" s="23">
        <f t="shared" ref="R87:R102" si="37">G87+K87+L87</f>
        <v>20000</v>
      </c>
      <c r="S87" s="25">
        <f t="shared" si="34"/>
        <v>140000</v>
      </c>
      <c r="T87" s="52"/>
    </row>
    <row r="88" spans="1:20" s="13" customFormat="1" x14ac:dyDescent="0.25">
      <c r="A88" s="20" t="s">
        <v>149</v>
      </c>
      <c r="B88" s="21" t="s">
        <v>150</v>
      </c>
      <c r="C88" s="22">
        <v>0.5</v>
      </c>
      <c r="D88" s="22">
        <v>14</v>
      </c>
      <c r="E88" s="23">
        <f>7732*C88</f>
        <v>3866</v>
      </c>
      <c r="F88" s="22"/>
      <c r="G88" s="23">
        <f t="shared" si="30"/>
        <v>3866</v>
      </c>
      <c r="H88" s="23"/>
      <c r="I88" s="23"/>
      <c r="J88" s="23"/>
      <c r="K88" s="23">
        <f t="shared" si="33"/>
        <v>1159.8</v>
      </c>
      <c r="L88" s="23">
        <f>20000*C88-G88-K88</f>
        <v>4974.2</v>
      </c>
      <c r="M88" s="23"/>
      <c r="N88" s="23"/>
      <c r="O88" s="23"/>
      <c r="P88" s="23"/>
      <c r="Q88" s="23"/>
      <c r="R88" s="23">
        <f t="shared" si="37"/>
        <v>10000</v>
      </c>
      <c r="S88" s="25">
        <f t="shared" si="34"/>
        <v>70000</v>
      </c>
      <c r="T88" s="52"/>
    </row>
    <row r="89" spans="1:20" s="13" customFormat="1" x14ac:dyDescent="0.25">
      <c r="A89" s="20" t="s">
        <v>151</v>
      </c>
      <c r="B89" s="21" t="s">
        <v>104</v>
      </c>
      <c r="C89" s="22">
        <v>0.5</v>
      </c>
      <c r="D89" s="22">
        <v>11</v>
      </c>
      <c r="E89" s="23">
        <v>3147</v>
      </c>
      <c r="F89" s="23">
        <f>E89*0.15</f>
        <v>472.04999999999995</v>
      </c>
      <c r="G89" s="23">
        <f t="shared" si="30"/>
        <v>3619.05</v>
      </c>
      <c r="H89" s="23"/>
      <c r="I89" s="23"/>
      <c r="J89" s="23"/>
      <c r="K89" s="23">
        <f t="shared" si="33"/>
        <v>1085.7149999999999</v>
      </c>
      <c r="L89" s="23">
        <f>20000/2-G89-K89</f>
        <v>5295.2349999999997</v>
      </c>
      <c r="M89" s="23"/>
      <c r="N89" s="23"/>
      <c r="O89" s="23"/>
      <c r="P89" s="23"/>
      <c r="Q89" s="23"/>
      <c r="R89" s="23">
        <f t="shared" si="37"/>
        <v>10000</v>
      </c>
      <c r="S89" s="25">
        <f t="shared" si="34"/>
        <v>70000</v>
      </c>
      <c r="T89" s="52"/>
    </row>
    <row r="90" spans="1:20" s="13" customFormat="1" x14ac:dyDescent="0.25">
      <c r="A90" s="20" t="s">
        <v>152</v>
      </c>
      <c r="B90" s="21" t="s">
        <v>153</v>
      </c>
      <c r="C90" s="22">
        <v>2</v>
      </c>
      <c r="D90" s="22">
        <v>14</v>
      </c>
      <c r="E90" s="23">
        <f>7732*C90</f>
        <v>15464</v>
      </c>
      <c r="F90" s="23">
        <f>E90*0.15</f>
        <v>2319.6</v>
      </c>
      <c r="G90" s="23">
        <f t="shared" si="30"/>
        <v>17783.599999999999</v>
      </c>
      <c r="H90" s="23"/>
      <c r="I90" s="23"/>
      <c r="J90" s="23"/>
      <c r="K90" s="23">
        <f t="shared" si="33"/>
        <v>5335.079999999999</v>
      </c>
      <c r="L90" s="23">
        <f>20000*C90-G90-K90</f>
        <v>16881.320000000003</v>
      </c>
      <c r="M90" s="23"/>
      <c r="N90" s="23"/>
      <c r="O90" s="23"/>
      <c r="P90" s="23"/>
      <c r="Q90" s="23"/>
      <c r="R90" s="23">
        <f t="shared" si="37"/>
        <v>40000</v>
      </c>
      <c r="S90" s="25">
        <f t="shared" si="34"/>
        <v>280000</v>
      </c>
      <c r="T90" s="52"/>
    </row>
    <row r="91" spans="1:20" s="13" customFormat="1" x14ac:dyDescent="0.25">
      <c r="A91" s="20" t="s">
        <v>154</v>
      </c>
      <c r="B91" s="21" t="s">
        <v>155</v>
      </c>
      <c r="C91" s="22">
        <v>0.75</v>
      </c>
      <c r="D91" s="22">
        <v>13</v>
      </c>
      <c r="E91" s="23">
        <f>7253*C91</f>
        <v>5439.75</v>
      </c>
      <c r="F91" s="22"/>
      <c r="G91" s="23">
        <f t="shared" si="30"/>
        <v>5439.75</v>
      </c>
      <c r="H91" s="23"/>
      <c r="I91" s="23"/>
      <c r="J91" s="23"/>
      <c r="K91" s="23">
        <f t="shared" si="33"/>
        <v>1631.925</v>
      </c>
      <c r="L91" s="23">
        <f>20000-G91-K91</f>
        <v>12928.325000000001</v>
      </c>
      <c r="M91" s="23"/>
      <c r="N91" s="23"/>
      <c r="O91" s="23"/>
      <c r="P91" s="23"/>
      <c r="Q91" s="23"/>
      <c r="R91" s="23">
        <f t="shared" si="37"/>
        <v>20000</v>
      </c>
      <c r="S91" s="25">
        <f t="shared" si="34"/>
        <v>140000</v>
      </c>
      <c r="T91" s="52"/>
    </row>
    <row r="92" spans="1:20" x14ac:dyDescent="0.25">
      <c r="A92" s="20" t="s">
        <v>156</v>
      </c>
      <c r="B92" s="21" t="s">
        <v>157</v>
      </c>
      <c r="C92" s="22">
        <v>0.25</v>
      </c>
      <c r="D92" s="22">
        <v>14</v>
      </c>
      <c r="E92" s="23">
        <f>7732*C92</f>
        <v>1933</v>
      </c>
      <c r="F92" s="23">
        <f>E92*0.15</f>
        <v>289.95</v>
      </c>
      <c r="G92" s="23">
        <f t="shared" si="30"/>
        <v>2222.9499999999998</v>
      </c>
      <c r="H92" s="23"/>
      <c r="I92" s="23"/>
      <c r="J92" s="23"/>
      <c r="K92" s="23">
        <f t="shared" si="33"/>
        <v>666.88499999999988</v>
      </c>
      <c r="L92" s="23">
        <f>20000-G92-K92</f>
        <v>17110.165000000001</v>
      </c>
      <c r="M92" s="23"/>
      <c r="N92" s="23"/>
      <c r="O92" s="23"/>
      <c r="P92" s="23"/>
      <c r="Q92" s="23"/>
      <c r="R92" s="23">
        <f t="shared" si="37"/>
        <v>20000</v>
      </c>
      <c r="S92" s="25">
        <f t="shared" si="34"/>
        <v>140000</v>
      </c>
      <c r="T92" s="53"/>
    </row>
    <row r="93" spans="1:20" s="13" customFormat="1" x14ac:dyDescent="0.25">
      <c r="A93" s="20" t="s">
        <v>119</v>
      </c>
      <c r="B93" s="21" t="s">
        <v>158</v>
      </c>
      <c r="C93" s="22">
        <v>0.25</v>
      </c>
      <c r="D93" s="22">
        <v>14</v>
      </c>
      <c r="E93" s="23">
        <f>7732*C93</f>
        <v>1933</v>
      </c>
      <c r="F93" s="22"/>
      <c r="G93" s="23">
        <f>E93+F93</f>
        <v>1933</v>
      </c>
      <c r="H93" s="23"/>
      <c r="I93" s="23"/>
      <c r="J93" s="23"/>
      <c r="K93" s="23">
        <f t="shared" si="33"/>
        <v>579.9</v>
      </c>
      <c r="L93" s="23">
        <f>20000*C93-G93-K93</f>
        <v>2487.1</v>
      </c>
      <c r="M93" s="23"/>
      <c r="N93" s="23"/>
      <c r="O93" s="23"/>
      <c r="P93" s="23"/>
      <c r="Q93" s="23"/>
      <c r="R93" s="23">
        <f>G93+K93+L93</f>
        <v>5000</v>
      </c>
      <c r="S93" s="25">
        <f t="shared" si="34"/>
        <v>35000</v>
      </c>
      <c r="T93" s="52"/>
    </row>
    <row r="94" spans="1:20" s="13" customFormat="1" x14ac:dyDescent="0.25">
      <c r="A94" s="20" t="s">
        <v>159</v>
      </c>
      <c r="B94" s="21" t="s">
        <v>160</v>
      </c>
      <c r="C94" s="22">
        <v>0.5</v>
      </c>
      <c r="D94" s="22">
        <v>14</v>
      </c>
      <c r="E94" s="23">
        <v>3866</v>
      </c>
      <c r="F94" s="22"/>
      <c r="G94" s="23">
        <f t="shared" si="30"/>
        <v>3866</v>
      </c>
      <c r="H94" s="23"/>
      <c r="I94" s="23"/>
      <c r="J94" s="23"/>
      <c r="K94" s="23">
        <f t="shared" si="33"/>
        <v>1159.8</v>
      </c>
      <c r="L94" s="23">
        <f>20000/2-G94-K94</f>
        <v>4974.2</v>
      </c>
      <c r="M94" s="23"/>
      <c r="N94" s="23"/>
      <c r="O94" s="23"/>
      <c r="P94" s="23"/>
      <c r="Q94" s="23"/>
      <c r="R94" s="23">
        <f t="shared" si="37"/>
        <v>10000</v>
      </c>
      <c r="S94" s="25">
        <f t="shared" si="34"/>
        <v>70000</v>
      </c>
      <c r="T94" s="52"/>
    </row>
    <row r="95" spans="1:20" s="13" customFormat="1" x14ac:dyDescent="0.25">
      <c r="A95" s="20" t="s">
        <v>161</v>
      </c>
      <c r="B95" s="21" t="s">
        <v>162</v>
      </c>
      <c r="C95" s="22">
        <v>0.5</v>
      </c>
      <c r="D95" s="22">
        <v>11</v>
      </c>
      <c r="E95" s="23">
        <v>3147</v>
      </c>
      <c r="F95" s="22"/>
      <c r="G95" s="23">
        <f t="shared" si="30"/>
        <v>3147</v>
      </c>
      <c r="H95" s="23"/>
      <c r="I95" s="23"/>
      <c r="J95" s="23"/>
      <c r="K95" s="23">
        <f t="shared" si="33"/>
        <v>944.09999999999991</v>
      </c>
      <c r="L95" s="23">
        <f>20000/2-G95-K95</f>
        <v>5908.9</v>
      </c>
      <c r="M95" s="23"/>
      <c r="N95" s="23"/>
      <c r="O95" s="23"/>
      <c r="P95" s="23"/>
      <c r="Q95" s="23"/>
      <c r="R95" s="23">
        <f t="shared" si="37"/>
        <v>10000</v>
      </c>
      <c r="S95" s="25">
        <f t="shared" si="34"/>
        <v>70000</v>
      </c>
      <c r="T95" s="52"/>
    </row>
    <row r="96" spans="1:20" s="56" customFormat="1" x14ac:dyDescent="0.25">
      <c r="A96" s="20" t="s">
        <v>163</v>
      </c>
      <c r="B96" s="21" t="s">
        <v>164</v>
      </c>
      <c r="C96" s="22">
        <v>0.5</v>
      </c>
      <c r="D96" s="22">
        <v>14</v>
      </c>
      <c r="E96" s="23">
        <v>3866</v>
      </c>
      <c r="F96" s="22"/>
      <c r="G96" s="23">
        <f t="shared" si="30"/>
        <v>3866</v>
      </c>
      <c r="H96" s="23"/>
      <c r="I96" s="23"/>
      <c r="J96" s="23"/>
      <c r="K96" s="23">
        <f t="shared" si="33"/>
        <v>1159.8</v>
      </c>
      <c r="L96" s="23">
        <f>20000/2-G96-K96</f>
        <v>4974.2</v>
      </c>
      <c r="M96" s="23"/>
      <c r="N96" s="23"/>
      <c r="O96" s="23"/>
      <c r="P96" s="23"/>
      <c r="Q96" s="23"/>
      <c r="R96" s="23">
        <f t="shared" si="37"/>
        <v>10000</v>
      </c>
      <c r="S96" s="25">
        <f t="shared" si="34"/>
        <v>70000</v>
      </c>
    </row>
    <row r="97" spans="1:20" s="56" customFormat="1" x14ac:dyDescent="0.25">
      <c r="A97" s="20" t="s">
        <v>163</v>
      </c>
      <c r="B97" s="21" t="s">
        <v>332</v>
      </c>
      <c r="C97" s="22">
        <v>0.5</v>
      </c>
      <c r="D97" s="22">
        <v>14</v>
      </c>
      <c r="E97" s="23">
        <v>3866</v>
      </c>
      <c r="F97" s="22"/>
      <c r="G97" s="23">
        <f t="shared" si="30"/>
        <v>3866</v>
      </c>
      <c r="H97" s="23"/>
      <c r="I97" s="23"/>
      <c r="J97" s="23"/>
      <c r="K97" s="23">
        <f t="shared" si="33"/>
        <v>1159.8</v>
      </c>
      <c r="L97" s="23">
        <f>20000/2-G97-K97</f>
        <v>4974.2</v>
      </c>
      <c r="M97" s="23"/>
      <c r="N97" s="23"/>
      <c r="O97" s="23"/>
      <c r="P97" s="23"/>
      <c r="Q97" s="23"/>
      <c r="R97" s="23">
        <f t="shared" si="37"/>
        <v>10000</v>
      </c>
      <c r="S97" s="25">
        <f t="shared" si="34"/>
        <v>70000</v>
      </c>
    </row>
    <row r="98" spans="1:20" s="13" customFormat="1" x14ac:dyDescent="0.25">
      <c r="A98" s="20" t="s">
        <v>165</v>
      </c>
      <c r="B98" s="21" t="s">
        <v>166</v>
      </c>
      <c r="C98" s="22">
        <v>1</v>
      </c>
      <c r="D98" s="22">
        <v>14</v>
      </c>
      <c r="E98" s="23">
        <v>7732</v>
      </c>
      <c r="F98" s="22"/>
      <c r="G98" s="23">
        <f t="shared" si="30"/>
        <v>7732</v>
      </c>
      <c r="H98" s="23"/>
      <c r="I98" s="23"/>
      <c r="J98" s="23"/>
      <c r="K98" s="23">
        <f t="shared" si="33"/>
        <v>2319.6</v>
      </c>
      <c r="L98" s="23">
        <f t="shared" ref="L98" si="38">20000-G98-K98</f>
        <v>9948.4</v>
      </c>
      <c r="M98" s="23"/>
      <c r="N98" s="23"/>
      <c r="O98" s="23"/>
      <c r="P98" s="23"/>
      <c r="Q98" s="23"/>
      <c r="R98" s="23">
        <f t="shared" si="37"/>
        <v>20000</v>
      </c>
      <c r="S98" s="25">
        <f t="shared" si="34"/>
        <v>140000</v>
      </c>
      <c r="T98" s="52"/>
    </row>
    <row r="99" spans="1:20" x14ac:dyDescent="0.25">
      <c r="A99" s="20" t="s">
        <v>167</v>
      </c>
      <c r="B99" s="21" t="s">
        <v>112</v>
      </c>
      <c r="C99" s="22">
        <v>0.5</v>
      </c>
      <c r="D99" s="22">
        <v>10</v>
      </c>
      <c r="E99" s="23">
        <v>2907.5</v>
      </c>
      <c r="F99" s="22"/>
      <c r="G99" s="23">
        <f t="shared" si="30"/>
        <v>2907.5</v>
      </c>
      <c r="H99" s="23"/>
      <c r="I99" s="23"/>
      <c r="J99" s="23"/>
      <c r="K99" s="23">
        <f t="shared" si="33"/>
        <v>872.25</v>
      </c>
      <c r="L99" s="23">
        <f>20000/2-G99-K99</f>
        <v>6220.25</v>
      </c>
      <c r="M99" s="23"/>
      <c r="N99" s="23"/>
      <c r="O99" s="23"/>
      <c r="P99" s="23"/>
      <c r="Q99" s="23"/>
      <c r="R99" s="23">
        <f t="shared" si="37"/>
        <v>10000</v>
      </c>
      <c r="S99" s="25">
        <f t="shared" si="34"/>
        <v>70000</v>
      </c>
      <c r="T99" s="53"/>
    </row>
    <row r="100" spans="1:20" s="13" customFormat="1" x14ac:dyDescent="0.25">
      <c r="A100" s="20" t="s">
        <v>168</v>
      </c>
      <c r="B100" s="21" t="s">
        <v>169</v>
      </c>
      <c r="C100" s="22">
        <v>1.5</v>
      </c>
      <c r="D100" s="22">
        <v>14</v>
      </c>
      <c r="E100" s="23">
        <f>7732*C100</f>
        <v>11598</v>
      </c>
      <c r="F100" s="22"/>
      <c r="G100" s="23">
        <f t="shared" si="30"/>
        <v>11598</v>
      </c>
      <c r="H100" s="23"/>
      <c r="I100" s="23"/>
      <c r="J100" s="23"/>
      <c r="K100" s="23">
        <f t="shared" si="33"/>
        <v>3479.4</v>
      </c>
      <c r="L100" s="23">
        <f>20000*C100-G100-K100</f>
        <v>14922.6</v>
      </c>
      <c r="M100" s="23"/>
      <c r="N100" s="23"/>
      <c r="O100" s="23"/>
      <c r="P100" s="23"/>
      <c r="Q100" s="23"/>
      <c r="R100" s="23">
        <f t="shared" si="37"/>
        <v>30000</v>
      </c>
      <c r="S100" s="25">
        <f t="shared" si="34"/>
        <v>210000</v>
      </c>
      <c r="T100" s="52"/>
    </row>
    <row r="101" spans="1:20" x14ac:dyDescent="0.25">
      <c r="A101" s="20" t="s">
        <v>170</v>
      </c>
      <c r="B101" s="21" t="s">
        <v>171</v>
      </c>
      <c r="C101" s="22">
        <v>0.5</v>
      </c>
      <c r="D101" s="22">
        <v>13</v>
      </c>
      <c r="E101" s="23">
        <f>7523*C101</f>
        <v>3761.5</v>
      </c>
      <c r="F101" s="22"/>
      <c r="G101" s="23">
        <f t="shared" si="30"/>
        <v>3761.5</v>
      </c>
      <c r="H101" s="23"/>
      <c r="I101" s="23"/>
      <c r="J101" s="23"/>
      <c r="K101" s="23">
        <f t="shared" si="33"/>
        <v>1128.45</v>
      </c>
      <c r="L101" s="23">
        <f>20000/2-G101-K101</f>
        <v>5110.05</v>
      </c>
      <c r="M101" s="23"/>
      <c r="N101" s="23"/>
      <c r="O101" s="23"/>
      <c r="P101" s="23"/>
      <c r="Q101" s="23"/>
      <c r="R101" s="23">
        <f t="shared" si="37"/>
        <v>10000</v>
      </c>
      <c r="S101" s="25">
        <f t="shared" si="34"/>
        <v>70000</v>
      </c>
      <c r="T101" s="53"/>
    </row>
    <row r="102" spans="1:20" x14ac:dyDescent="0.25">
      <c r="A102" s="20" t="s">
        <v>172</v>
      </c>
      <c r="B102" s="21" t="s">
        <v>173</v>
      </c>
      <c r="C102" s="22">
        <v>0.5</v>
      </c>
      <c r="D102" s="22">
        <v>14</v>
      </c>
      <c r="E102" s="23">
        <v>3866</v>
      </c>
      <c r="F102" s="22"/>
      <c r="G102" s="23">
        <f t="shared" si="30"/>
        <v>3866</v>
      </c>
      <c r="H102" s="23"/>
      <c r="I102" s="23"/>
      <c r="J102" s="23"/>
      <c r="K102" s="23">
        <f t="shared" si="33"/>
        <v>1159.8</v>
      </c>
      <c r="L102" s="23">
        <f>20000/2-G102-K102</f>
        <v>4974.2</v>
      </c>
      <c r="M102" s="23"/>
      <c r="N102" s="23"/>
      <c r="O102" s="23"/>
      <c r="P102" s="23"/>
      <c r="Q102" s="23"/>
      <c r="R102" s="23">
        <f t="shared" si="37"/>
        <v>10000</v>
      </c>
      <c r="S102" s="25">
        <f t="shared" si="34"/>
        <v>70000</v>
      </c>
      <c r="T102" s="53"/>
    </row>
    <row r="103" spans="1:20" x14ac:dyDescent="0.25">
      <c r="A103" s="20" t="s">
        <v>174</v>
      </c>
      <c r="B103" s="21" t="s">
        <v>128</v>
      </c>
      <c r="C103" s="22">
        <v>0.5</v>
      </c>
      <c r="D103" s="22">
        <v>9</v>
      </c>
      <c r="E103" s="23">
        <f>5527*C103</f>
        <v>2763.5</v>
      </c>
      <c r="F103" s="22"/>
      <c r="G103" s="23">
        <f t="shared" si="30"/>
        <v>2763.5</v>
      </c>
      <c r="H103" s="23"/>
      <c r="I103" s="23"/>
      <c r="J103" s="23"/>
      <c r="K103" s="23">
        <f t="shared" si="33"/>
        <v>829.05</v>
      </c>
      <c r="L103" s="23">
        <f>13500*C103-G103-K103</f>
        <v>3157.45</v>
      </c>
      <c r="M103" s="23"/>
      <c r="N103" s="23"/>
      <c r="O103" s="23"/>
      <c r="P103" s="23"/>
      <c r="Q103" s="23"/>
      <c r="R103" s="23">
        <f>G103+K103+L103</f>
        <v>6750</v>
      </c>
      <c r="S103" s="25">
        <f t="shared" si="34"/>
        <v>47250</v>
      </c>
      <c r="T103" s="53"/>
    </row>
    <row r="104" spans="1:20" x14ac:dyDescent="0.25">
      <c r="A104" s="20" t="s">
        <v>175</v>
      </c>
      <c r="B104" s="21" t="s">
        <v>176</v>
      </c>
      <c r="C104" s="22">
        <v>1</v>
      </c>
      <c r="D104" s="22">
        <v>9</v>
      </c>
      <c r="E104" s="23">
        <v>5527</v>
      </c>
      <c r="F104" s="22">
        <f>E104*0.15</f>
        <v>829.05</v>
      </c>
      <c r="G104" s="23">
        <f t="shared" si="30"/>
        <v>6356.05</v>
      </c>
      <c r="H104" s="23"/>
      <c r="I104" s="23"/>
      <c r="J104" s="23"/>
      <c r="K104" s="23">
        <f t="shared" si="33"/>
        <v>1906.8150000000001</v>
      </c>
      <c r="L104" s="23">
        <f>13500-G104-K104</f>
        <v>5237.1350000000002</v>
      </c>
      <c r="M104" s="23"/>
      <c r="N104" s="23"/>
      <c r="O104" s="23"/>
      <c r="P104" s="23"/>
      <c r="Q104" s="23"/>
      <c r="R104" s="23">
        <f>G104+K104+L104</f>
        <v>13500</v>
      </c>
      <c r="S104" s="25">
        <f t="shared" si="34"/>
        <v>94500</v>
      </c>
      <c r="T104" s="53"/>
    </row>
    <row r="105" spans="1:20" x14ac:dyDescent="0.25">
      <c r="A105" s="20" t="s">
        <v>177</v>
      </c>
      <c r="B105" s="21" t="s">
        <v>178</v>
      </c>
      <c r="C105" s="22">
        <v>1.5</v>
      </c>
      <c r="D105" s="22">
        <v>7</v>
      </c>
      <c r="E105" s="23">
        <v>7380</v>
      </c>
      <c r="F105" s="22"/>
      <c r="G105" s="23">
        <f t="shared" si="30"/>
        <v>7380</v>
      </c>
      <c r="H105" s="23"/>
      <c r="I105" s="23">
        <f>G105*0.1</f>
        <v>738</v>
      </c>
      <c r="J105" s="23"/>
      <c r="K105" s="23">
        <f t="shared" si="33"/>
        <v>2214</v>
      </c>
      <c r="L105" s="23">
        <f>13500*1.5-G105-I105-K105</f>
        <v>9918</v>
      </c>
      <c r="M105" s="23"/>
      <c r="N105" s="23"/>
      <c r="O105" s="23"/>
      <c r="P105" s="23"/>
      <c r="Q105" s="23"/>
      <c r="R105" s="23">
        <f>G105+I105+K105+L105</f>
        <v>20250</v>
      </c>
      <c r="S105" s="25">
        <f t="shared" si="34"/>
        <v>141750</v>
      </c>
      <c r="T105" s="53"/>
    </row>
    <row r="106" spans="1:20" x14ac:dyDescent="0.25">
      <c r="A106" s="20" t="s">
        <v>179</v>
      </c>
      <c r="B106" s="21" t="s">
        <v>91</v>
      </c>
      <c r="C106" s="22">
        <v>6</v>
      </c>
      <c r="D106" s="22">
        <v>9</v>
      </c>
      <c r="E106" s="23">
        <f>5527*C106</f>
        <v>33162</v>
      </c>
      <c r="F106" s="22"/>
      <c r="G106" s="23">
        <f t="shared" si="30"/>
        <v>33162</v>
      </c>
      <c r="H106" s="23"/>
      <c r="I106" s="23"/>
      <c r="J106" s="23"/>
      <c r="K106" s="23">
        <f t="shared" si="33"/>
        <v>9948.6</v>
      </c>
      <c r="L106" s="23">
        <f>13500*C106-G106-K106</f>
        <v>37889.4</v>
      </c>
      <c r="M106" s="23"/>
      <c r="N106" s="23"/>
      <c r="O106" s="23"/>
      <c r="P106" s="23"/>
      <c r="Q106" s="23"/>
      <c r="R106" s="23">
        <f t="shared" ref="R106" si="39">G106+K106+L106</f>
        <v>81000</v>
      </c>
      <c r="S106" s="25">
        <f t="shared" si="34"/>
        <v>567000</v>
      </c>
      <c r="T106" s="53"/>
    </row>
    <row r="107" spans="1:20" x14ac:dyDescent="0.25">
      <c r="A107" s="20" t="s">
        <v>181</v>
      </c>
      <c r="B107" s="21" t="s">
        <v>180</v>
      </c>
      <c r="C107" s="22">
        <v>1</v>
      </c>
      <c r="D107" s="22">
        <v>9</v>
      </c>
      <c r="E107" s="23">
        <f>5527*C107</f>
        <v>5527</v>
      </c>
      <c r="F107" s="22"/>
      <c r="G107" s="23">
        <f t="shared" si="30"/>
        <v>5527</v>
      </c>
      <c r="H107" s="23"/>
      <c r="I107" s="23">
        <f>G107*0.1</f>
        <v>552.70000000000005</v>
      </c>
      <c r="J107" s="23"/>
      <c r="K107" s="23">
        <f t="shared" si="33"/>
        <v>1658.1</v>
      </c>
      <c r="L107" s="23">
        <f>13500-G107-K107-I107</f>
        <v>5762.2</v>
      </c>
      <c r="M107" s="23"/>
      <c r="N107" s="23"/>
      <c r="O107" s="23"/>
      <c r="P107" s="23"/>
      <c r="Q107" s="23"/>
      <c r="R107" s="23">
        <f>G107+K107+L107+I107</f>
        <v>13500</v>
      </c>
      <c r="S107" s="25">
        <f t="shared" si="34"/>
        <v>94500</v>
      </c>
      <c r="T107" s="53"/>
    </row>
    <row r="108" spans="1:20" x14ac:dyDescent="0.25">
      <c r="A108" s="20" t="s">
        <v>183</v>
      </c>
      <c r="B108" s="21" t="s">
        <v>182</v>
      </c>
      <c r="C108" s="22">
        <v>2</v>
      </c>
      <c r="D108" s="22">
        <v>9</v>
      </c>
      <c r="E108" s="23">
        <f>5527*C108</f>
        <v>11054</v>
      </c>
      <c r="F108" s="22">
        <f>E108*0.15</f>
        <v>1658.1</v>
      </c>
      <c r="G108" s="23">
        <f t="shared" si="30"/>
        <v>12712.1</v>
      </c>
      <c r="H108" s="23"/>
      <c r="I108" s="23"/>
      <c r="J108" s="23"/>
      <c r="K108" s="23">
        <f t="shared" si="33"/>
        <v>3813.63</v>
      </c>
      <c r="L108" s="23">
        <f>13500*C108-G108-K108</f>
        <v>10474.27</v>
      </c>
      <c r="M108" s="23"/>
      <c r="N108" s="23"/>
      <c r="O108" s="23"/>
      <c r="P108" s="23"/>
      <c r="Q108" s="23"/>
      <c r="R108" s="23">
        <f t="shared" ref="R108" si="40">G108+K108+L108</f>
        <v>27000</v>
      </c>
      <c r="S108" s="25">
        <f t="shared" si="34"/>
        <v>189000</v>
      </c>
      <c r="T108" s="53"/>
    </row>
    <row r="109" spans="1:20" s="38" customFormat="1" x14ac:dyDescent="0.25">
      <c r="A109" s="20" t="s">
        <v>185</v>
      </c>
      <c r="B109" s="21" t="s">
        <v>184</v>
      </c>
      <c r="C109" s="22">
        <v>0.5</v>
      </c>
      <c r="D109" s="22">
        <v>4</v>
      </c>
      <c r="E109" s="23">
        <v>2029</v>
      </c>
      <c r="F109" s="22"/>
      <c r="G109" s="23">
        <f>E109+F109</f>
        <v>2029</v>
      </c>
      <c r="H109" s="23"/>
      <c r="I109" s="23"/>
      <c r="J109" s="23"/>
      <c r="K109" s="23"/>
      <c r="L109" s="23"/>
      <c r="M109" s="23"/>
      <c r="N109" s="23"/>
      <c r="O109" s="23"/>
      <c r="P109" s="23">
        <f>8000/2-G109</f>
        <v>1971</v>
      </c>
      <c r="Q109" s="23"/>
      <c r="R109" s="23">
        <f>G109+I109+P109</f>
        <v>4000</v>
      </c>
      <c r="S109" s="25">
        <f t="shared" si="34"/>
        <v>28000</v>
      </c>
      <c r="T109" s="46"/>
    </row>
    <row r="110" spans="1:20" x14ac:dyDescent="0.25">
      <c r="A110" s="20" t="s">
        <v>188</v>
      </c>
      <c r="B110" s="21" t="s">
        <v>134</v>
      </c>
      <c r="C110" s="22">
        <v>5</v>
      </c>
      <c r="D110" s="22">
        <v>3</v>
      </c>
      <c r="E110" s="23">
        <f>3770*C110</f>
        <v>18850</v>
      </c>
      <c r="F110" s="22"/>
      <c r="G110" s="23">
        <f t="shared" si="30"/>
        <v>18850</v>
      </c>
      <c r="H110" s="23"/>
      <c r="I110" s="23">
        <f>G110*0.1</f>
        <v>1885</v>
      </c>
      <c r="J110" s="23"/>
      <c r="K110" s="23"/>
      <c r="L110" s="23"/>
      <c r="M110" s="23"/>
      <c r="N110" s="23"/>
      <c r="O110" s="23"/>
      <c r="P110" s="23">
        <f>8000*C110-G110</f>
        <v>21150</v>
      </c>
      <c r="Q110" s="23"/>
      <c r="R110" s="23">
        <f>G110+I110+P110</f>
        <v>41885</v>
      </c>
      <c r="S110" s="25">
        <f t="shared" si="34"/>
        <v>293195</v>
      </c>
      <c r="T110" s="53"/>
    </row>
    <row r="111" spans="1:20" s="27" customFormat="1" ht="23.4" customHeight="1" thickBot="1" x14ac:dyDescent="0.3">
      <c r="A111" s="112"/>
      <c r="B111" s="113" t="s">
        <v>59</v>
      </c>
      <c r="C111" s="114">
        <f>SUM(C83:C110)</f>
        <v>33.75</v>
      </c>
      <c r="D111" s="114"/>
      <c r="E111" s="115">
        <f>SUM(E83:E110)</f>
        <v>200417.25</v>
      </c>
      <c r="F111" s="115">
        <f>SUM(F83:F110)</f>
        <v>8277.9500000000007</v>
      </c>
      <c r="G111" s="115">
        <f>SUM(G83:G110)</f>
        <v>208695.2</v>
      </c>
      <c r="H111" s="115"/>
      <c r="I111" s="115">
        <f>SUM(I83:I110)</f>
        <v>3175.7</v>
      </c>
      <c r="J111" s="115"/>
      <c r="K111" s="115">
        <f>SUM(K83:K110)</f>
        <v>56344.859999999993</v>
      </c>
      <c r="L111" s="115">
        <f>SUM(L83:L110)</f>
        <v>251548.24000000002</v>
      </c>
      <c r="M111" s="115"/>
      <c r="N111" s="115"/>
      <c r="O111" s="115"/>
      <c r="P111" s="115">
        <f>SUM(P109:P110)</f>
        <v>23121</v>
      </c>
      <c r="Q111" s="115"/>
      <c r="R111" s="115">
        <f>SUM(R83:R110)</f>
        <v>542885</v>
      </c>
      <c r="S111" s="116">
        <f>SUM(S83:S110)</f>
        <v>3800195</v>
      </c>
      <c r="T111" s="54"/>
    </row>
    <row r="112" spans="1:20" ht="22.2" customHeight="1" x14ac:dyDescent="0.25">
      <c r="A112" s="15"/>
      <c r="B112" s="86" t="s">
        <v>187</v>
      </c>
      <c r="C112" s="85"/>
      <c r="D112" s="85"/>
      <c r="E112" s="94"/>
      <c r="F112" s="85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110"/>
      <c r="T112" s="53"/>
    </row>
    <row r="113" spans="1:20" x14ac:dyDescent="0.25">
      <c r="A113" s="20" t="s">
        <v>190</v>
      </c>
      <c r="B113" s="21" t="s">
        <v>189</v>
      </c>
      <c r="C113" s="22">
        <v>0.75</v>
      </c>
      <c r="D113" s="22">
        <v>10</v>
      </c>
      <c r="E113" s="23">
        <f>5815*C113</f>
        <v>4361.25</v>
      </c>
      <c r="F113" s="22">
        <f>E113*0.15</f>
        <v>654.1875</v>
      </c>
      <c r="G113" s="23">
        <f t="shared" ref="G113:G117" si="41">E113+F113</f>
        <v>5015.4375</v>
      </c>
      <c r="H113" s="23"/>
      <c r="I113" s="23">
        <f>G113*0.1</f>
        <v>501.54375000000005</v>
      </c>
      <c r="J113" s="23"/>
      <c r="K113" s="23">
        <f>G113*0.3</f>
        <v>1504.6312499999999</v>
      </c>
      <c r="L113" s="23">
        <f>20000*C113-G113-I113-K113</f>
        <v>7978.3874999999989</v>
      </c>
      <c r="M113" s="23"/>
      <c r="N113" s="23"/>
      <c r="O113" s="23"/>
      <c r="P113" s="23"/>
      <c r="Q113" s="23"/>
      <c r="R113" s="23">
        <f>G113+I113+K113+L113</f>
        <v>14999.999999999998</v>
      </c>
      <c r="S113" s="25">
        <f>R113*7</f>
        <v>104999.99999999999</v>
      </c>
      <c r="T113" s="53"/>
    </row>
    <row r="114" spans="1:20" x14ac:dyDescent="0.25">
      <c r="A114" s="20" t="s">
        <v>192</v>
      </c>
      <c r="B114" s="21" t="s">
        <v>191</v>
      </c>
      <c r="C114" s="22">
        <v>1</v>
      </c>
      <c r="D114" s="22">
        <v>9</v>
      </c>
      <c r="E114" s="23">
        <v>5527</v>
      </c>
      <c r="F114" s="22">
        <f>E114*0.15</f>
        <v>829.05</v>
      </c>
      <c r="G114" s="23">
        <f t="shared" si="41"/>
        <v>6356.05</v>
      </c>
      <c r="H114" s="23"/>
      <c r="I114" s="23"/>
      <c r="J114" s="23"/>
      <c r="K114" s="23">
        <f t="shared" ref="K114:K115" si="42">G114*0.3</f>
        <v>1906.8150000000001</v>
      </c>
      <c r="L114" s="23">
        <f>20000-G114-K114</f>
        <v>11737.135</v>
      </c>
      <c r="M114" s="23"/>
      <c r="N114" s="23"/>
      <c r="O114" s="23"/>
      <c r="P114" s="23"/>
      <c r="Q114" s="23"/>
      <c r="R114" s="23">
        <f>G114+I114+K114+L114</f>
        <v>20000</v>
      </c>
      <c r="S114" s="25">
        <f t="shared" ref="S114:S116" si="43">R114*7</f>
        <v>140000</v>
      </c>
      <c r="T114" s="53"/>
    </row>
    <row r="115" spans="1:20" x14ac:dyDescent="0.25">
      <c r="A115" s="20" t="s">
        <v>194</v>
      </c>
      <c r="B115" s="21" t="s">
        <v>193</v>
      </c>
      <c r="C115" s="22">
        <v>3</v>
      </c>
      <c r="D115" s="22">
        <v>10</v>
      </c>
      <c r="E115" s="23">
        <f>5815*C115</f>
        <v>17445</v>
      </c>
      <c r="F115" s="22">
        <f>E115*0.15</f>
        <v>2616.75</v>
      </c>
      <c r="G115" s="23">
        <f t="shared" si="41"/>
        <v>20061.75</v>
      </c>
      <c r="H115" s="23"/>
      <c r="I115" s="23">
        <f>G115*0.1</f>
        <v>2006.1750000000002</v>
      </c>
      <c r="J115" s="23"/>
      <c r="K115" s="23">
        <f t="shared" si="42"/>
        <v>6018.5249999999996</v>
      </c>
      <c r="L115" s="23">
        <f>13500*C115-G115-I115-K115</f>
        <v>12413.550000000001</v>
      </c>
      <c r="M115" s="23"/>
      <c r="N115" s="23"/>
      <c r="O115" s="23"/>
      <c r="P115" s="23"/>
      <c r="Q115" s="23"/>
      <c r="R115" s="23">
        <f>G115+I115+K115+L115</f>
        <v>40500</v>
      </c>
      <c r="S115" s="25">
        <f t="shared" si="43"/>
        <v>283500</v>
      </c>
      <c r="T115" s="53"/>
    </row>
    <row r="116" spans="1:20" s="38" customFormat="1" x14ac:dyDescent="0.25">
      <c r="A116" s="20" t="s">
        <v>197</v>
      </c>
      <c r="B116" s="21" t="s">
        <v>186</v>
      </c>
      <c r="C116" s="22">
        <v>1</v>
      </c>
      <c r="D116" s="22">
        <v>3</v>
      </c>
      <c r="E116" s="23">
        <f>3770*C116</f>
        <v>3770</v>
      </c>
      <c r="F116" s="22">
        <f>E116*0.15</f>
        <v>565.5</v>
      </c>
      <c r="G116" s="23">
        <f t="shared" si="41"/>
        <v>4335.5</v>
      </c>
      <c r="H116" s="23"/>
      <c r="I116" s="23">
        <f>G116*0.1</f>
        <v>433.55</v>
      </c>
      <c r="J116" s="23"/>
      <c r="K116" s="23" t="s">
        <v>195</v>
      </c>
      <c r="L116" s="23"/>
      <c r="M116" s="23"/>
      <c r="N116" s="23"/>
      <c r="O116" s="23"/>
      <c r="P116" s="23">
        <f>8000*C116-E116</f>
        <v>4230</v>
      </c>
      <c r="Q116" s="23"/>
      <c r="R116" s="23">
        <f>G116+I116+P116</f>
        <v>8999.0499999999993</v>
      </c>
      <c r="S116" s="25">
        <f t="shared" si="43"/>
        <v>62993.349999999991</v>
      </c>
      <c r="T116" s="46"/>
    </row>
    <row r="117" spans="1:20" s="27" customFormat="1" ht="25.2" customHeight="1" x14ac:dyDescent="0.25">
      <c r="A117" s="112"/>
      <c r="B117" s="113" t="s">
        <v>59</v>
      </c>
      <c r="C117" s="114">
        <f>C113+C114+C115+C116</f>
        <v>5.75</v>
      </c>
      <c r="D117" s="114"/>
      <c r="E117" s="115">
        <f>SUM(E113:E116)</f>
        <v>31103.25</v>
      </c>
      <c r="F117" s="114">
        <f>SUM(F113:F116)</f>
        <v>4665.4875000000002</v>
      </c>
      <c r="G117" s="115">
        <f t="shared" si="41"/>
        <v>35768.737500000003</v>
      </c>
      <c r="H117" s="115"/>
      <c r="I117" s="115">
        <f>SUM(I113:I116)</f>
        <v>2941.2687500000002</v>
      </c>
      <c r="J117" s="115"/>
      <c r="K117" s="115">
        <f>SUM(K113:K116)</f>
        <v>9429.9712499999987</v>
      </c>
      <c r="L117" s="115">
        <f>SUM(L113:L116)</f>
        <v>32129.072500000002</v>
      </c>
      <c r="M117" s="115"/>
      <c r="N117" s="115"/>
      <c r="O117" s="115"/>
      <c r="P117" s="115">
        <f>SUM(P113:P116)</f>
        <v>4230</v>
      </c>
      <c r="Q117" s="115"/>
      <c r="R117" s="115">
        <f>SUM(R113:R116)</f>
        <v>84499.05</v>
      </c>
      <c r="S117" s="116">
        <f>SUM(S113:S116)</f>
        <v>591493.35</v>
      </c>
      <c r="T117" s="54"/>
    </row>
    <row r="118" spans="1:20" s="27" customFormat="1" ht="21.6" customHeight="1" x14ac:dyDescent="0.25">
      <c r="A118" s="125"/>
      <c r="B118" s="126" t="s">
        <v>326</v>
      </c>
      <c r="C118" s="126"/>
      <c r="D118" s="126"/>
      <c r="E118" s="127"/>
      <c r="F118" s="126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127"/>
      <c r="T118" s="54"/>
    </row>
    <row r="119" spans="1:20" s="27" customFormat="1" ht="15" customHeight="1" x14ac:dyDescent="0.25">
      <c r="A119" s="128" t="s">
        <v>198</v>
      </c>
      <c r="B119" s="129" t="s">
        <v>323</v>
      </c>
      <c r="C119" s="130">
        <v>0.25</v>
      </c>
      <c r="D119" s="130">
        <v>10</v>
      </c>
      <c r="E119" s="131">
        <f>5815*C119</f>
        <v>1453.75</v>
      </c>
      <c r="F119" s="130">
        <f>E119*0.15</f>
        <v>218.0625</v>
      </c>
      <c r="G119" s="131">
        <f>E119+F119</f>
        <v>1671.8125</v>
      </c>
      <c r="H119" s="131"/>
      <c r="I119" s="131">
        <f>G119*0.1</f>
        <v>167.18125000000001</v>
      </c>
      <c r="J119" s="131"/>
      <c r="K119" s="131">
        <f>G119*0.3</f>
        <v>501.54374999999999</v>
      </c>
      <c r="L119" s="131">
        <f>20000*C119-G119-I119-K119</f>
        <v>2659.4625000000001</v>
      </c>
      <c r="M119" s="131"/>
      <c r="N119" s="131"/>
      <c r="O119" s="131"/>
      <c r="P119" s="131"/>
      <c r="Q119" s="131"/>
      <c r="R119" s="131">
        <f>L119+K119+I119+G119</f>
        <v>5000</v>
      </c>
      <c r="S119" s="131">
        <f>R119*7</f>
        <v>35000</v>
      </c>
      <c r="T119" s="54"/>
    </row>
    <row r="120" spans="1:20" s="27" customFormat="1" ht="13.2" customHeight="1" x14ac:dyDescent="0.25">
      <c r="A120" s="128" t="s">
        <v>199</v>
      </c>
      <c r="B120" s="129" t="s">
        <v>324</v>
      </c>
      <c r="C120" s="130">
        <v>0.25</v>
      </c>
      <c r="D120" s="130">
        <v>10</v>
      </c>
      <c r="E120" s="131">
        <f>5815*C120</f>
        <v>1453.75</v>
      </c>
      <c r="F120" s="130">
        <f>E120*0.15</f>
        <v>218.0625</v>
      </c>
      <c r="G120" s="131">
        <f>E120+F120</f>
        <v>1671.8125</v>
      </c>
      <c r="H120" s="131"/>
      <c r="I120" s="131">
        <f>G120*0.1</f>
        <v>167.18125000000001</v>
      </c>
      <c r="J120" s="131"/>
      <c r="K120" s="131">
        <f>G120*0.3</f>
        <v>501.54374999999999</v>
      </c>
      <c r="L120" s="131">
        <f>20000*C120-G120-I120-K120</f>
        <v>2659.4625000000001</v>
      </c>
      <c r="M120" s="131"/>
      <c r="N120" s="131"/>
      <c r="O120" s="131"/>
      <c r="P120" s="131"/>
      <c r="Q120" s="131"/>
      <c r="R120" s="131">
        <f t="shared" ref="R120" si="44">L120+K120+I120+G120</f>
        <v>5000</v>
      </c>
      <c r="S120" s="131">
        <f>R120*7</f>
        <v>35000</v>
      </c>
      <c r="T120" s="54"/>
    </row>
    <row r="121" spans="1:20" s="27" customFormat="1" ht="21.6" customHeight="1" x14ac:dyDescent="0.25">
      <c r="A121" s="128"/>
      <c r="B121" s="132" t="s">
        <v>59</v>
      </c>
      <c r="C121" s="126">
        <v>0.5</v>
      </c>
      <c r="D121" s="126"/>
      <c r="E121" s="127">
        <f>SUM(E119:E120)</f>
        <v>2907.5</v>
      </c>
      <c r="F121" s="126">
        <f>SUM(F119:F120)</f>
        <v>436.125</v>
      </c>
      <c r="G121" s="127">
        <f>SUM(G119:G120)</f>
        <v>3343.625</v>
      </c>
      <c r="H121" s="127"/>
      <c r="I121" s="127">
        <f>SUM(I119:I120)</f>
        <v>334.36250000000001</v>
      </c>
      <c r="J121" s="127"/>
      <c r="K121" s="127">
        <f>SUM(K119:K120)</f>
        <v>1003.0875</v>
      </c>
      <c r="L121" s="127">
        <f>SUM(L119:L120)</f>
        <v>5318.9250000000002</v>
      </c>
      <c r="M121" s="127"/>
      <c r="N121" s="127"/>
      <c r="O121" s="127"/>
      <c r="P121" s="127"/>
      <c r="Q121" s="127"/>
      <c r="R121" s="127">
        <f>SUM(R119:R120)</f>
        <v>10000</v>
      </c>
      <c r="S121" s="127">
        <f>SUM(S119:S120)</f>
        <v>70000</v>
      </c>
      <c r="T121" s="54"/>
    </row>
    <row r="122" spans="1:20" ht="23.4" customHeight="1" x14ac:dyDescent="0.25">
      <c r="A122" s="133"/>
      <c r="B122" s="29" t="s">
        <v>327</v>
      </c>
      <c r="C122" s="29"/>
      <c r="D122" s="29"/>
      <c r="E122" s="30"/>
      <c r="F122" s="29"/>
      <c r="G122" s="23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53"/>
    </row>
    <row r="123" spans="1:20" ht="14.4" customHeight="1" x14ac:dyDescent="0.25">
      <c r="A123" s="20" t="s">
        <v>198</v>
      </c>
      <c r="B123" s="21" t="s">
        <v>110</v>
      </c>
      <c r="C123" s="22">
        <v>0.25</v>
      </c>
      <c r="D123" s="22">
        <v>10</v>
      </c>
      <c r="E123" s="23">
        <f>5815*C123</f>
        <v>1453.75</v>
      </c>
      <c r="F123" s="22">
        <f t="shared" ref="F123:F126" si="45">E123*0.15</f>
        <v>218.0625</v>
      </c>
      <c r="G123" s="23">
        <f t="shared" si="20"/>
        <v>1671.8125</v>
      </c>
      <c r="H123" s="23"/>
      <c r="I123" s="23"/>
      <c r="J123" s="23"/>
      <c r="K123" s="23">
        <f>G123*0.3</f>
        <v>501.54374999999999</v>
      </c>
      <c r="L123" s="23">
        <f>20000*C123-G123-K123</f>
        <v>2826.6437500000002</v>
      </c>
      <c r="M123" s="23"/>
      <c r="N123" s="23"/>
      <c r="O123" s="23"/>
      <c r="P123" s="23"/>
      <c r="Q123" s="23"/>
      <c r="R123" s="23">
        <f t="shared" ref="R123:R124" si="46">G123+K123+L123</f>
        <v>5000</v>
      </c>
      <c r="S123" s="25">
        <f>R123*7</f>
        <v>35000</v>
      </c>
      <c r="T123" s="53"/>
    </row>
    <row r="124" spans="1:20" x14ac:dyDescent="0.25">
      <c r="A124" s="20" t="s">
        <v>199</v>
      </c>
      <c r="B124" s="21" t="s">
        <v>104</v>
      </c>
      <c r="C124" s="22">
        <v>0.25</v>
      </c>
      <c r="D124" s="22">
        <v>10</v>
      </c>
      <c r="E124" s="23">
        <f>5815*C124</f>
        <v>1453.75</v>
      </c>
      <c r="F124" s="22">
        <f t="shared" si="45"/>
        <v>218.0625</v>
      </c>
      <c r="G124" s="23">
        <f t="shared" si="20"/>
        <v>1671.8125</v>
      </c>
      <c r="H124" s="23"/>
      <c r="I124" s="23"/>
      <c r="J124" s="23"/>
      <c r="K124" s="23">
        <f t="shared" ref="K124:K125" si="47">G124*0.3</f>
        <v>501.54374999999999</v>
      </c>
      <c r="L124" s="23">
        <f>20000*C124-G124-K124</f>
        <v>2826.6437500000002</v>
      </c>
      <c r="M124" s="23"/>
      <c r="N124" s="23"/>
      <c r="O124" s="23"/>
      <c r="P124" s="23"/>
      <c r="Q124" s="23"/>
      <c r="R124" s="23">
        <f t="shared" si="46"/>
        <v>5000</v>
      </c>
      <c r="S124" s="25">
        <f t="shared" ref="S124:S126" si="48">R124*7</f>
        <v>35000</v>
      </c>
      <c r="T124" s="53"/>
    </row>
    <row r="125" spans="1:20" x14ac:dyDescent="0.25">
      <c r="A125" s="20" t="s">
        <v>200</v>
      </c>
      <c r="B125" s="21" t="s">
        <v>130</v>
      </c>
      <c r="C125" s="22">
        <v>4</v>
      </c>
      <c r="D125" s="22">
        <v>9</v>
      </c>
      <c r="E125" s="23">
        <f>5527*C125</f>
        <v>22108</v>
      </c>
      <c r="F125" s="22">
        <f t="shared" si="45"/>
        <v>3316.2</v>
      </c>
      <c r="G125" s="23">
        <f t="shared" si="20"/>
        <v>25424.2</v>
      </c>
      <c r="H125" s="23"/>
      <c r="I125" s="23">
        <f t="shared" ref="I125:I126" si="49">G125*0.1</f>
        <v>2542.42</v>
      </c>
      <c r="J125" s="23"/>
      <c r="K125" s="23">
        <f t="shared" si="47"/>
        <v>7627.26</v>
      </c>
      <c r="L125" s="23">
        <f>13500*C125-G125-K125-I125-N125</f>
        <v>15816.520000000002</v>
      </c>
      <c r="M125" s="23"/>
      <c r="N125" s="23">
        <f>647.4*C125</f>
        <v>2589.6</v>
      </c>
      <c r="O125" s="23"/>
      <c r="P125" s="23"/>
      <c r="Q125" s="23"/>
      <c r="R125" s="23">
        <f>G125+K125+L125+I125+N125</f>
        <v>54000</v>
      </c>
      <c r="S125" s="25">
        <f t="shared" si="48"/>
        <v>378000</v>
      </c>
      <c r="T125" s="53"/>
    </row>
    <row r="126" spans="1:20" s="13" customFormat="1" x14ac:dyDescent="0.2">
      <c r="A126" s="28" t="s">
        <v>202</v>
      </c>
      <c r="B126" s="21" t="s">
        <v>134</v>
      </c>
      <c r="C126" s="22">
        <v>2.5</v>
      </c>
      <c r="D126" s="22">
        <v>4</v>
      </c>
      <c r="E126" s="23">
        <f>4058*C126</f>
        <v>10145</v>
      </c>
      <c r="F126" s="22">
        <f t="shared" si="45"/>
        <v>1521.75</v>
      </c>
      <c r="G126" s="23">
        <f t="shared" si="20"/>
        <v>11666.75</v>
      </c>
      <c r="H126" s="23"/>
      <c r="I126" s="23">
        <f t="shared" si="49"/>
        <v>1166.675</v>
      </c>
      <c r="J126" s="23"/>
      <c r="K126" s="23"/>
      <c r="L126" s="23"/>
      <c r="M126" s="23"/>
      <c r="N126" s="23">
        <f>475.33*C126</f>
        <v>1188.325</v>
      </c>
      <c r="O126" s="23"/>
      <c r="P126" s="23">
        <f>8000*C126-E126</f>
        <v>9855</v>
      </c>
      <c r="Q126" s="23"/>
      <c r="R126" s="23">
        <f>G126+I126+P126+N126</f>
        <v>23876.75</v>
      </c>
      <c r="S126" s="25">
        <f t="shared" si="48"/>
        <v>167137.25</v>
      </c>
      <c r="T126" s="52"/>
    </row>
    <row r="127" spans="1:20" s="27" customFormat="1" ht="21.6" customHeight="1" thickBot="1" x14ac:dyDescent="0.3">
      <c r="A127" s="64"/>
      <c r="B127" s="117" t="s">
        <v>59</v>
      </c>
      <c r="C127" s="34">
        <f>SUM(C123:C126)</f>
        <v>7</v>
      </c>
      <c r="D127" s="34"/>
      <c r="E127" s="35">
        <f>SUM(E123:E126)</f>
        <v>35160.5</v>
      </c>
      <c r="F127" s="34">
        <f>SUM(F123:F126)</f>
        <v>5274.0749999999998</v>
      </c>
      <c r="G127" s="35">
        <f>SUM(G123:G126)</f>
        <v>40434.574999999997</v>
      </c>
      <c r="H127" s="35"/>
      <c r="I127" s="35">
        <f>SUM(I123:I126)</f>
        <v>3709.0950000000003</v>
      </c>
      <c r="J127" s="35"/>
      <c r="K127" s="35">
        <f>SUM(K123:K126)</f>
        <v>8630.3474999999999</v>
      </c>
      <c r="L127" s="35">
        <f>SUM(L123:L126)</f>
        <v>21469.807500000003</v>
      </c>
      <c r="M127" s="35"/>
      <c r="N127" s="35">
        <f>SUM(N123:N126)</f>
        <v>3777.9250000000002</v>
      </c>
      <c r="O127" s="35"/>
      <c r="P127" s="35">
        <f>SUM(P123:P126)</f>
        <v>9855</v>
      </c>
      <c r="Q127" s="35"/>
      <c r="R127" s="35">
        <f>SUM(R123:R126)</f>
        <v>87876.75</v>
      </c>
      <c r="S127" s="36">
        <f>SUM(S123:S126)</f>
        <v>615137.25</v>
      </c>
      <c r="T127" s="54"/>
    </row>
    <row r="128" spans="1:20" s="56" customFormat="1" ht="27" customHeight="1" x14ac:dyDescent="0.25">
      <c r="A128" s="15"/>
      <c r="B128" s="86" t="s">
        <v>201</v>
      </c>
      <c r="C128" s="85"/>
      <c r="D128" s="85"/>
      <c r="E128" s="94"/>
      <c r="F128" s="85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110"/>
      <c r="T128" s="58"/>
    </row>
    <row r="129" spans="1:20" s="13" customFormat="1" x14ac:dyDescent="0.25">
      <c r="A129" s="20" t="s">
        <v>203</v>
      </c>
      <c r="B129" s="59" t="s">
        <v>100</v>
      </c>
      <c r="C129" s="22">
        <v>1</v>
      </c>
      <c r="D129" s="22">
        <v>13</v>
      </c>
      <c r="E129" s="23">
        <v>7253</v>
      </c>
      <c r="F129" s="22">
        <f>E129*0.2</f>
        <v>1450.6000000000001</v>
      </c>
      <c r="G129" s="23">
        <f t="shared" ref="G129:G130" si="50">E129+F129</f>
        <v>8703.6</v>
      </c>
      <c r="H129" s="23"/>
      <c r="I129" s="23"/>
      <c r="J129" s="23"/>
      <c r="K129" s="23">
        <f t="shared" ref="K129:K130" si="51">G129*0.3</f>
        <v>2611.08</v>
      </c>
      <c r="L129" s="23">
        <f t="shared" ref="L129" si="52">20000-G129-K129</f>
        <v>8685.32</v>
      </c>
      <c r="M129" s="23"/>
      <c r="N129" s="23"/>
      <c r="O129" s="23"/>
      <c r="P129" s="23"/>
      <c r="Q129" s="23"/>
      <c r="R129" s="23">
        <f>G129+K129+L129+O129</f>
        <v>20000</v>
      </c>
      <c r="S129" s="25">
        <f>R129*7</f>
        <v>140000</v>
      </c>
      <c r="T129" s="52"/>
    </row>
    <row r="130" spans="1:20" s="38" customFormat="1" x14ac:dyDescent="0.25">
      <c r="A130" s="57" t="s">
        <v>205</v>
      </c>
      <c r="B130" s="21" t="s">
        <v>128</v>
      </c>
      <c r="C130" s="22">
        <v>1</v>
      </c>
      <c r="D130" s="22">
        <v>10</v>
      </c>
      <c r="E130" s="23">
        <v>5815</v>
      </c>
      <c r="F130" s="22">
        <f>E130*0.1</f>
        <v>581.5</v>
      </c>
      <c r="G130" s="23">
        <f t="shared" si="50"/>
        <v>6396.5</v>
      </c>
      <c r="H130" s="23"/>
      <c r="I130" s="23"/>
      <c r="J130" s="23"/>
      <c r="K130" s="23">
        <f t="shared" si="51"/>
        <v>1918.9499999999998</v>
      </c>
      <c r="L130" s="23">
        <f>13500-G130-K130</f>
        <v>5184.55</v>
      </c>
      <c r="M130" s="23"/>
      <c r="N130" s="23"/>
      <c r="O130" s="23"/>
      <c r="P130" s="23"/>
      <c r="Q130" s="23"/>
      <c r="R130" s="23">
        <f>G130+K130+L130</f>
        <v>13500</v>
      </c>
      <c r="S130" s="25">
        <f>R130*7</f>
        <v>94500</v>
      </c>
      <c r="T130" s="46"/>
    </row>
    <row r="131" spans="1:20" x14ac:dyDescent="0.25">
      <c r="A131" s="28"/>
      <c r="B131" s="50"/>
      <c r="C131" s="60"/>
      <c r="D131" s="60"/>
      <c r="E131" s="61"/>
      <c r="F131" s="60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2"/>
      <c r="T131" s="53"/>
    </row>
    <row r="132" spans="1:20" ht="21" customHeight="1" x14ac:dyDescent="0.25">
      <c r="A132" s="20"/>
      <c r="B132" s="63" t="s">
        <v>204</v>
      </c>
      <c r="C132" s="29"/>
      <c r="D132" s="29"/>
      <c r="E132" s="30"/>
      <c r="F132" s="29"/>
      <c r="G132" s="23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1"/>
      <c r="T132" s="53"/>
    </row>
    <row r="133" spans="1:20" ht="11.4" customHeight="1" x14ac:dyDescent="0.25">
      <c r="A133" s="20" t="s">
        <v>207</v>
      </c>
      <c r="B133" s="21" t="s">
        <v>206</v>
      </c>
      <c r="C133" s="22">
        <v>4.5</v>
      </c>
      <c r="D133" s="22">
        <v>14</v>
      </c>
      <c r="E133" s="23">
        <f>7732*C133</f>
        <v>34794</v>
      </c>
      <c r="F133" s="22"/>
      <c r="G133" s="23">
        <f t="shared" ref="G133:G139" si="53">E133+F133</f>
        <v>34794</v>
      </c>
      <c r="H133" s="23"/>
      <c r="I133" s="23"/>
      <c r="J133" s="23"/>
      <c r="K133" s="23">
        <f t="shared" ref="K133" si="54">G133*0.3</f>
        <v>10438.199999999999</v>
      </c>
      <c r="L133" s="23">
        <f>20000*C133-G133-K133</f>
        <v>44767.8</v>
      </c>
      <c r="M133" s="23"/>
      <c r="N133" s="23"/>
      <c r="O133" s="23"/>
      <c r="P133" s="23"/>
      <c r="Q133" s="23"/>
      <c r="R133" s="23">
        <f>G133+K133+L133+O133</f>
        <v>90000</v>
      </c>
      <c r="S133" s="25">
        <f>R133*7</f>
        <v>630000</v>
      </c>
    </row>
    <row r="134" spans="1:20" x14ac:dyDescent="0.25">
      <c r="A134" s="20" t="s">
        <v>209</v>
      </c>
      <c r="B134" s="21" t="s">
        <v>208</v>
      </c>
      <c r="C134" s="22">
        <v>1</v>
      </c>
      <c r="D134" s="22">
        <v>13</v>
      </c>
      <c r="E134" s="23">
        <v>7523</v>
      </c>
      <c r="F134" s="22"/>
      <c r="G134" s="23">
        <f t="shared" si="53"/>
        <v>7523</v>
      </c>
      <c r="H134" s="23"/>
      <c r="I134" s="23"/>
      <c r="J134" s="23"/>
      <c r="K134" s="23">
        <f>G134*0.3</f>
        <v>2256.9</v>
      </c>
      <c r="L134" s="23">
        <f>20000-G134-K134</f>
        <v>10220.1</v>
      </c>
      <c r="M134" s="23"/>
      <c r="N134" s="23"/>
      <c r="O134" s="23"/>
      <c r="P134" s="23"/>
      <c r="Q134" s="23"/>
      <c r="R134" s="23">
        <f>G134+K134+L134+O134</f>
        <v>20000</v>
      </c>
      <c r="S134" s="25">
        <f t="shared" ref="S134:S139" si="55">R134*7</f>
        <v>140000</v>
      </c>
    </row>
    <row r="135" spans="1:20" s="13" customFormat="1" x14ac:dyDescent="0.25">
      <c r="A135" s="20" t="s">
        <v>210</v>
      </c>
      <c r="B135" s="21" t="s">
        <v>112</v>
      </c>
      <c r="C135" s="22">
        <v>1</v>
      </c>
      <c r="D135" s="22">
        <v>12</v>
      </c>
      <c r="E135" s="23">
        <v>6773</v>
      </c>
      <c r="F135" s="22"/>
      <c r="G135" s="23">
        <f t="shared" si="53"/>
        <v>6773</v>
      </c>
      <c r="H135" s="23"/>
      <c r="I135" s="23"/>
      <c r="J135" s="23"/>
      <c r="K135" s="23">
        <f t="shared" ref="K135:K137" si="56">G135*0.3</f>
        <v>2031.8999999999999</v>
      </c>
      <c r="L135" s="23">
        <f t="shared" ref="L135" si="57">20000-G135-K135</f>
        <v>11195.1</v>
      </c>
      <c r="M135" s="23"/>
      <c r="N135" s="23"/>
      <c r="O135" s="23"/>
      <c r="P135" s="23"/>
      <c r="Q135" s="23"/>
      <c r="R135" s="23">
        <f>G135+K135+L135+O135</f>
        <v>20000</v>
      </c>
      <c r="S135" s="25">
        <f t="shared" si="55"/>
        <v>140000</v>
      </c>
    </row>
    <row r="136" spans="1:20" x14ac:dyDescent="0.25">
      <c r="A136" s="20" t="s">
        <v>213</v>
      </c>
      <c r="B136" s="21" t="s">
        <v>211</v>
      </c>
      <c r="C136" s="22">
        <v>5</v>
      </c>
      <c r="D136" s="22">
        <v>10</v>
      </c>
      <c r="E136" s="23">
        <f>5815*C136</f>
        <v>29075</v>
      </c>
      <c r="F136" s="22"/>
      <c r="G136" s="23">
        <f t="shared" si="53"/>
        <v>29075</v>
      </c>
      <c r="H136" s="23"/>
      <c r="I136" s="23">
        <f>G136*0.1</f>
        <v>2907.5</v>
      </c>
      <c r="J136" s="23"/>
      <c r="K136" s="23">
        <f t="shared" si="56"/>
        <v>8722.5</v>
      </c>
      <c r="L136" s="23">
        <f>13500*C136-G136-I136-K136</f>
        <v>26795</v>
      </c>
      <c r="M136" s="23"/>
      <c r="N136" s="23"/>
      <c r="O136" s="23"/>
      <c r="P136" s="23"/>
      <c r="Q136" s="23"/>
      <c r="R136" s="23">
        <f>G136+I136+K136+L136</f>
        <v>67500</v>
      </c>
      <c r="S136" s="25">
        <f t="shared" si="55"/>
        <v>472500</v>
      </c>
      <c r="T136" s="53"/>
    </row>
    <row r="137" spans="1:20" s="13" customFormat="1" x14ac:dyDescent="0.25">
      <c r="A137" s="20" t="s">
        <v>214</v>
      </c>
      <c r="B137" s="21" t="s">
        <v>91</v>
      </c>
      <c r="C137" s="22">
        <v>1</v>
      </c>
      <c r="D137" s="22">
        <v>10</v>
      </c>
      <c r="E137" s="23">
        <v>5815</v>
      </c>
      <c r="F137" s="22"/>
      <c r="G137" s="23">
        <f t="shared" si="53"/>
        <v>5815</v>
      </c>
      <c r="H137" s="23"/>
      <c r="I137" s="23"/>
      <c r="J137" s="23"/>
      <c r="K137" s="23">
        <f t="shared" si="56"/>
        <v>1744.5</v>
      </c>
      <c r="L137" s="23">
        <f t="shared" ref="L137:L138" si="58">13500-G137-K137</f>
        <v>5940.5</v>
      </c>
      <c r="M137" s="23"/>
      <c r="N137" s="23"/>
      <c r="O137" s="23"/>
      <c r="P137" s="23"/>
      <c r="Q137" s="23"/>
      <c r="R137" s="23">
        <f t="shared" ref="R137:R138" si="59">G137+K137+L137</f>
        <v>13500</v>
      </c>
      <c r="S137" s="25">
        <f t="shared" si="55"/>
        <v>94500</v>
      </c>
    </row>
    <row r="138" spans="1:20" x14ac:dyDescent="0.25">
      <c r="A138" s="20" t="s">
        <v>216</v>
      </c>
      <c r="B138" s="21" t="s">
        <v>215</v>
      </c>
      <c r="C138" s="22">
        <v>1</v>
      </c>
      <c r="D138" s="22">
        <v>10</v>
      </c>
      <c r="E138" s="23">
        <v>5815</v>
      </c>
      <c r="F138" s="22"/>
      <c r="G138" s="23">
        <f t="shared" si="53"/>
        <v>5815</v>
      </c>
      <c r="H138" s="23"/>
      <c r="I138" s="23"/>
      <c r="J138" s="23"/>
      <c r="K138" s="23">
        <f>G138*0.3</f>
        <v>1744.5</v>
      </c>
      <c r="L138" s="23">
        <f t="shared" si="58"/>
        <v>5940.5</v>
      </c>
      <c r="M138" s="23"/>
      <c r="N138" s="23"/>
      <c r="O138" s="23"/>
      <c r="P138" s="23"/>
      <c r="Q138" s="23"/>
      <c r="R138" s="23">
        <f t="shared" si="59"/>
        <v>13500</v>
      </c>
      <c r="S138" s="25">
        <f t="shared" si="55"/>
        <v>94500</v>
      </c>
    </row>
    <row r="139" spans="1:20" x14ac:dyDescent="0.25">
      <c r="A139" s="20" t="s">
        <v>218</v>
      </c>
      <c r="B139" s="21" t="s">
        <v>134</v>
      </c>
      <c r="C139" s="22">
        <v>2</v>
      </c>
      <c r="D139" s="22">
        <v>3</v>
      </c>
      <c r="E139" s="23">
        <f>3770*C139</f>
        <v>7540</v>
      </c>
      <c r="F139" s="22"/>
      <c r="G139" s="23">
        <f t="shared" si="53"/>
        <v>7540</v>
      </c>
      <c r="H139" s="23"/>
      <c r="I139" s="23">
        <f>G139*0.1</f>
        <v>754</v>
      </c>
      <c r="J139" s="23"/>
      <c r="K139" s="23"/>
      <c r="L139" s="23"/>
      <c r="M139" s="23"/>
      <c r="N139" s="23"/>
      <c r="O139" s="23"/>
      <c r="P139" s="23">
        <f>8000*C139-G139</f>
        <v>8460</v>
      </c>
      <c r="Q139" s="23"/>
      <c r="R139" s="23">
        <f>SUM(G139:Q139)</f>
        <v>16754</v>
      </c>
      <c r="S139" s="25">
        <f t="shared" si="55"/>
        <v>117278</v>
      </c>
    </row>
    <row r="140" spans="1:20" s="27" customFormat="1" ht="25.8" customHeight="1" thickBot="1" x14ac:dyDescent="0.3">
      <c r="A140" s="64"/>
      <c r="B140" s="47" t="s">
        <v>59</v>
      </c>
      <c r="C140" s="34">
        <f>SUM(C129:C139)</f>
        <v>17.5</v>
      </c>
      <c r="D140" s="34"/>
      <c r="E140" s="35">
        <f>SUM(E129:E139)</f>
        <v>110403</v>
      </c>
      <c r="F140" s="34">
        <f>SUM(F129:F139)</f>
        <v>2032.1000000000001</v>
      </c>
      <c r="G140" s="35">
        <f>SUM(G129:G139)</f>
        <v>112435.1</v>
      </c>
      <c r="H140" s="35"/>
      <c r="I140" s="35">
        <f>SUM(I129:I139)</f>
        <v>3661.5</v>
      </c>
      <c r="J140" s="35"/>
      <c r="K140" s="35">
        <f>SUM(K129:K139)</f>
        <v>31468.530000000002</v>
      </c>
      <c r="L140" s="35">
        <f>SUM(L129:L139)</f>
        <v>118728.87000000001</v>
      </c>
      <c r="M140" s="35">
        <f>SUM(M139:M139)</f>
        <v>0</v>
      </c>
      <c r="N140" s="35"/>
      <c r="O140" s="35">
        <f>SUM(O134:O139)</f>
        <v>0</v>
      </c>
      <c r="P140" s="35">
        <f>SUM(P139:P139)</f>
        <v>8460</v>
      </c>
      <c r="Q140" s="35"/>
      <c r="R140" s="35">
        <f>SUM(R129:R139)</f>
        <v>274754</v>
      </c>
      <c r="S140" s="36">
        <f>SUM(S129:S139)</f>
        <v>1923278</v>
      </c>
    </row>
    <row r="141" spans="1:20" ht="27.6" customHeight="1" x14ac:dyDescent="0.25">
      <c r="A141" s="15"/>
      <c r="B141" s="55" t="s">
        <v>217</v>
      </c>
      <c r="C141" s="85"/>
      <c r="D141" s="85"/>
      <c r="E141" s="94"/>
      <c r="F141" s="85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110"/>
    </row>
    <row r="142" spans="1:20" x14ac:dyDescent="0.25">
      <c r="A142" s="20" t="s">
        <v>221</v>
      </c>
      <c r="B142" s="21" t="s">
        <v>219</v>
      </c>
      <c r="C142" s="22">
        <v>6</v>
      </c>
      <c r="D142" s="22">
        <v>10</v>
      </c>
      <c r="E142" s="23">
        <f>5815*C142</f>
        <v>34890</v>
      </c>
      <c r="F142" s="22"/>
      <c r="G142" s="23">
        <f t="shared" ref="G142:G143" si="60">E142+F142</f>
        <v>34890</v>
      </c>
      <c r="H142" s="23"/>
      <c r="I142" s="23"/>
      <c r="J142" s="23"/>
      <c r="K142" s="23">
        <f t="shared" ref="K142" si="61">G142*0.3</f>
        <v>10467</v>
      </c>
      <c r="L142" s="23">
        <f>13500*C142-G142-K142-N142</f>
        <v>31556.22</v>
      </c>
      <c r="M142" s="23"/>
      <c r="N142" s="23">
        <f>681.13*C142</f>
        <v>4086.7799999999997</v>
      </c>
      <c r="O142" s="23"/>
      <c r="P142" s="23"/>
      <c r="Q142" s="23"/>
      <c r="R142" s="23">
        <f t="shared" ref="R142" si="62">G142+K142+L142+N142</f>
        <v>81000</v>
      </c>
      <c r="S142" s="25">
        <f>R142*7</f>
        <v>567000</v>
      </c>
    </row>
    <row r="143" spans="1:20" x14ac:dyDescent="0.25">
      <c r="A143" s="20" t="s">
        <v>223</v>
      </c>
      <c r="B143" s="21" t="s">
        <v>78</v>
      </c>
      <c r="C143" s="22">
        <v>5</v>
      </c>
      <c r="D143" s="22">
        <v>4</v>
      </c>
      <c r="E143" s="23">
        <f>4058*C143</f>
        <v>20290</v>
      </c>
      <c r="F143" s="22"/>
      <c r="G143" s="23">
        <f t="shared" si="60"/>
        <v>20290</v>
      </c>
      <c r="H143" s="23"/>
      <c r="I143" s="23"/>
      <c r="J143" s="23"/>
      <c r="K143" s="23"/>
      <c r="L143" s="23"/>
      <c r="M143" s="23"/>
      <c r="N143" s="23">
        <f>475.33*C143</f>
        <v>2376.65</v>
      </c>
      <c r="O143" s="23"/>
      <c r="P143" s="23">
        <f>8000*C143-G143</f>
        <v>19710</v>
      </c>
      <c r="Q143" s="23"/>
      <c r="R143" s="23">
        <f>E143+P143+N143</f>
        <v>42376.65</v>
      </c>
      <c r="S143" s="25">
        <f>R143*7</f>
        <v>296636.55</v>
      </c>
    </row>
    <row r="144" spans="1:20" s="27" customFormat="1" ht="22.2" customHeight="1" thickBot="1" x14ac:dyDescent="0.3">
      <c r="A144" s="64"/>
      <c r="B144" s="47" t="s">
        <v>59</v>
      </c>
      <c r="C144" s="34">
        <f>SUM(C142:C143)</f>
        <v>11</v>
      </c>
      <c r="D144" s="34"/>
      <c r="E144" s="35">
        <f>SUM(E142:E143)</f>
        <v>55180</v>
      </c>
      <c r="F144" s="34"/>
      <c r="G144" s="35">
        <f>SUM(G142:G143)</f>
        <v>55180</v>
      </c>
      <c r="H144" s="35"/>
      <c r="I144" s="35"/>
      <c r="J144" s="35"/>
      <c r="K144" s="35">
        <f>SUM(K142:K143)</f>
        <v>10467</v>
      </c>
      <c r="L144" s="35">
        <f>SUM(L142:L143)</f>
        <v>31556.22</v>
      </c>
      <c r="M144" s="35"/>
      <c r="N144" s="35">
        <f>SUM(N142:N143)</f>
        <v>6463.43</v>
      </c>
      <c r="O144" s="35"/>
      <c r="P144" s="35">
        <f>SUM(P142:P143)</f>
        <v>19710</v>
      </c>
      <c r="Q144" s="35"/>
      <c r="R144" s="35">
        <f>SUM(R142:R143)</f>
        <v>123376.65</v>
      </c>
      <c r="S144" s="36">
        <f>SUM(S142:S143)</f>
        <v>863636.55</v>
      </c>
    </row>
    <row r="145" spans="1:20" ht="29.4" customHeight="1" x14ac:dyDescent="0.25">
      <c r="A145" s="15"/>
      <c r="B145" s="55" t="s">
        <v>222</v>
      </c>
      <c r="C145" s="85"/>
      <c r="D145" s="85"/>
      <c r="E145" s="94"/>
      <c r="F145" s="85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110"/>
    </row>
    <row r="146" spans="1:20" x14ac:dyDescent="0.25">
      <c r="A146" s="20" t="s">
        <v>224</v>
      </c>
      <c r="B146" s="21" t="s">
        <v>206</v>
      </c>
      <c r="C146" s="22">
        <v>1</v>
      </c>
      <c r="D146" s="22">
        <v>12</v>
      </c>
      <c r="E146" s="23">
        <f>6773*C146</f>
        <v>6773</v>
      </c>
      <c r="F146" s="22">
        <f>E146*0.1</f>
        <v>677.30000000000007</v>
      </c>
      <c r="G146" s="23">
        <f t="shared" ref="G146:G151" si="63">E146+F146</f>
        <v>7450.3</v>
      </c>
      <c r="H146" s="23"/>
      <c r="I146" s="23"/>
      <c r="J146" s="23"/>
      <c r="K146" s="23">
        <f>G146*0.3</f>
        <v>2235.09</v>
      </c>
      <c r="L146" s="23">
        <f>20000*C146-G146-K146</f>
        <v>10314.61</v>
      </c>
      <c r="M146" s="23"/>
      <c r="N146" s="23"/>
      <c r="O146" s="23"/>
      <c r="P146" s="23"/>
      <c r="Q146" s="23"/>
      <c r="R146" s="23">
        <f>G146+K146+L146</f>
        <v>20000</v>
      </c>
      <c r="S146" s="25">
        <f>R146*7</f>
        <v>140000</v>
      </c>
    </row>
    <row r="147" spans="1:20" x14ac:dyDescent="0.25">
      <c r="A147" s="20" t="s">
        <v>225</v>
      </c>
      <c r="B147" s="21" t="s">
        <v>91</v>
      </c>
      <c r="C147" s="22">
        <v>1</v>
      </c>
      <c r="D147" s="22">
        <v>7</v>
      </c>
      <c r="E147" s="23">
        <v>4920</v>
      </c>
      <c r="F147" s="22"/>
      <c r="G147" s="23">
        <f t="shared" si="63"/>
        <v>4920</v>
      </c>
      <c r="H147" s="23"/>
      <c r="I147" s="23"/>
      <c r="J147" s="23"/>
      <c r="K147" s="23">
        <f>G147*0.3</f>
        <v>1476</v>
      </c>
      <c r="L147" s="23">
        <f>13500-G147-K147</f>
        <v>7104</v>
      </c>
      <c r="M147" s="23"/>
      <c r="N147" s="23"/>
      <c r="O147" s="23"/>
      <c r="P147" s="23"/>
      <c r="Q147" s="23"/>
      <c r="R147" s="23">
        <f>G147+K147+L147</f>
        <v>13500</v>
      </c>
      <c r="S147" s="25">
        <f t="shared" ref="S147:S148" si="64">R147*7</f>
        <v>94500</v>
      </c>
    </row>
    <row r="148" spans="1:20" x14ac:dyDescent="0.25">
      <c r="A148" s="20" t="s">
        <v>226</v>
      </c>
      <c r="B148" s="21" t="s">
        <v>134</v>
      </c>
      <c r="C148" s="22">
        <v>1</v>
      </c>
      <c r="D148" s="22">
        <v>3</v>
      </c>
      <c r="E148" s="23">
        <v>3770</v>
      </c>
      <c r="F148" s="22"/>
      <c r="G148" s="23">
        <f t="shared" si="63"/>
        <v>3770</v>
      </c>
      <c r="H148" s="23"/>
      <c r="I148" s="23">
        <f>G148*0.1</f>
        <v>377</v>
      </c>
      <c r="J148" s="23"/>
      <c r="K148" s="23"/>
      <c r="L148" s="23"/>
      <c r="M148" s="23"/>
      <c r="N148" s="23"/>
      <c r="O148" s="23"/>
      <c r="P148" s="23">
        <f>8000-G148</f>
        <v>4230</v>
      </c>
      <c r="Q148" s="23"/>
      <c r="R148" s="23">
        <f>SUM(G148:Q148)</f>
        <v>8377</v>
      </c>
      <c r="S148" s="25">
        <f t="shared" si="64"/>
        <v>58639</v>
      </c>
    </row>
    <row r="149" spans="1:20" x14ac:dyDescent="0.25">
      <c r="A149" s="20" t="s">
        <v>228</v>
      </c>
      <c r="B149" s="21" t="s">
        <v>227</v>
      </c>
      <c r="C149" s="22">
        <v>1.75</v>
      </c>
      <c r="D149" s="22">
        <v>1</v>
      </c>
      <c r="E149" s="23">
        <f>3195*C149</f>
        <v>5591.25</v>
      </c>
      <c r="F149" s="22"/>
      <c r="G149" s="23">
        <f t="shared" si="63"/>
        <v>5591.25</v>
      </c>
      <c r="H149" s="23"/>
      <c r="I149" s="23"/>
      <c r="J149" s="23"/>
      <c r="K149" s="23"/>
      <c r="L149" s="23"/>
      <c r="M149" s="23"/>
      <c r="N149" s="23"/>
      <c r="O149" s="23"/>
      <c r="P149" s="23">
        <f>8000*C149-G149</f>
        <v>8408.75</v>
      </c>
      <c r="Q149" s="23"/>
      <c r="R149" s="23">
        <f>SUM(G149:Q149)</f>
        <v>14000</v>
      </c>
      <c r="S149" s="25">
        <f>R149*3</f>
        <v>42000</v>
      </c>
    </row>
    <row r="150" spans="1:20" s="38" customFormat="1" x14ac:dyDescent="0.25">
      <c r="A150" s="20" t="s">
        <v>231</v>
      </c>
      <c r="B150" s="21" t="s">
        <v>229</v>
      </c>
      <c r="C150" s="22">
        <v>0.5</v>
      </c>
      <c r="D150" s="22">
        <v>1</v>
      </c>
      <c r="E150" s="23">
        <v>1597.5</v>
      </c>
      <c r="F150" s="22"/>
      <c r="G150" s="23">
        <f t="shared" si="63"/>
        <v>1597.5</v>
      </c>
      <c r="H150" s="23"/>
      <c r="I150" s="23"/>
      <c r="J150" s="23"/>
      <c r="K150" s="23"/>
      <c r="L150" s="23"/>
      <c r="M150" s="23"/>
      <c r="N150" s="23"/>
      <c r="O150" s="23"/>
      <c r="P150" s="23">
        <f>4000-G150</f>
        <v>2402.5</v>
      </c>
      <c r="Q150" s="23"/>
      <c r="R150" s="23">
        <f>SUM(G150:Q150)</f>
        <v>4000</v>
      </c>
      <c r="S150" s="25">
        <f>R150*7</f>
        <v>28000</v>
      </c>
    </row>
    <row r="151" spans="1:20" s="27" customFormat="1" ht="27" customHeight="1" thickBot="1" x14ac:dyDescent="0.3">
      <c r="A151" s="64"/>
      <c r="B151" s="47" t="s">
        <v>59</v>
      </c>
      <c r="C151" s="34">
        <f>SUM(C146:C150)</f>
        <v>5.25</v>
      </c>
      <c r="D151" s="34"/>
      <c r="E151" s="35">
        <f>SUM(E146:E150)</f>
        <v>22651.75</v>
      </c>
      <c r="F151" s="34">
        <f>SUM(F146:F150)</f>
        <v>677.30000000000007</v>
      </c>
      <c r="G151" s="35">
        <f t="shared" si="63"/>
        <v>23329.05</v>
      </c>
      <c r="H151" s="35"/>
      <c r="I151" s="35">
        <f>SUM(I148:I150)</f>
        <v>377</v>
      </c>
      <c r="J151" s="35"/>
      <c r="K151" s="35">
        <f>SUM(K146:K150)</f>
        <v>3711.09</v>
      </c>
      <c r="L151" s="35">
        <f>SUM(L146:L150)</f>
        <v>17418.61</v>
      </c>
      <c r="M151" s="35"/>
      <c r="N151" s="35"/>
      <c r="O151" s="35"/>
      <c r="P151" s="35">
        <f>SUM(P146:P150)</f>
        <v>15041.25</v>
      </c>
      <c r="Q151" s="35"/>
      <c r="R151" s="35">
        <f>SUM(R146:R150)</f>
        <v>59877</v>
      </c>
      <c r="S151" s="36">
        <f>SUM(S146:S150)</f>
        <v>363139</v>
      </c>
    </row>
    <row r="152" spans="1:20" ht="23.4" customHeight="1" x14ac:dyDescent="0.25">
      <c r="A152" s="15"/>
      <c r="B152" s="55" t="s">
        <v>230</v>
      </c>
      <c r="C152" s="85"/>
      <c r="D152" s="85"/>
      <c r="E152" s="94"/>
      <c r="F152" s="85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110"/>
    </row>
    <row r="153" spans="1:20" x14ac:dyDescent="0.25">
      <c r="A153" s="20" t="s">
        <v>233</v>
      </c>
      <c r="B153" s="21" t="s">
        <v>232</v>
      </c>
      <c r="C153" s="22">
        <v>1.25</v>
      </c>
      <c r="D153" s="22">
        <v>13</v>
      </c>
      <c r="E153" s="23">
        <f>7253*C153</f>
        <v>9066.25</v>
      </c>
      <c r="F153" s="22">
        <f>E153*0.1</f>
        <v>906.625</v>
      </c>
      <c r="G153" s="23">
        <f t="shared" ref="G153:G157" si="65">E153+F153</f>
        <v>9972.875</v>
      </c>
      <c r="H153" s="23"/>
      <c r="I153" s="23"/>
      <c r="J153" s="23"/>
      <c r="K153" s="23">
        <f>G153*0.3</f>
        <v>2991.8624999999997</v>
      </c>
      <c r="L153" s="23">
        <f>20000*C153-G153-K153</f>
        <v>12035.262500000001</v>
      </c>
      <c r="M153" s="23"/>
      <c r="N153" s="23"/>
      <c r="O153" s="23"/>
      <c r="P153" s="23"/>
      <c r="Q153" s="23"/>
      <c r="R153" s="23">
        <f>G153+K153+L153+O153</f>
        <v>25000</v>
      </c>
      <c r="S153" s="25">
        <f>R153*7</f>
        <v>175000</v>
      </c>
    </row>
    <row r="154" spans="1:20" x14ac:dyDescent="0.25">
      <c r="A154" s="20" t="s">
        <v>234</v>
      </c>
      <c r="B154" s="21" t="s">
        <v>212</v>
      </c>
      <c r="C154" s="22">
        <v>2</v>
      </c>
      <c r="D154" s="22">
        <v>10</v>
      </c>
      <c r="E154" s="23">
        <f>5815*C154</f>
        <v>11630</v>
      </c>
      <c r="F154" s="22"/>
      <c r="G154" s="23">
        <f t="shared" si="65"/>
        <v>11630</v>
      </c>
      <c r="H154" s="23"/>
      <c r="I154" s="23"/>
      <c r="J154" s="23"/>
      <c r="K154" s="23">
        <f t="shared" ref="K154:K155" si="66">G154*0.3</f>
        <v>3489</v>
      </c>
      <c r="L154" s="23">
        <f>13500*C154-G154-K154</f>
        <v>11881</v>
      </c>
      <c r="M154" s="23"/>
      <c r="N154" s="23"/>
      <c r="O154" s="23"/>
      <c r="P154" s="23"/>
      <c r="Q154" s="23"/>
      <c r="R154" s="23">
        <f>G154+K154+L154</f>
        <v>27000</v>
      </c>
      <c r="S154" s="25">
        <f t="shared" ref="S154:S156" si="67">R154*7</f>
        <v>189000</v>
      </c>
    </row>
    <row r="155" spans="1:20" s="13" customFormat="1" x14ac:dyDescent="0.25">
      <c r="A155" s="20" t="s">
        <v>236</v>
      </c>
      <c r="B155" s="21" t="s">
        <v>235</v>
      </c>
      <c r="C155" s="22">
        <v>1</v>
      </c>
      <c r="D155" s="22">
        <v>7</v>
      </c>
      <c r="E155" s="23">
        <v>4920</v>
      </c>
      <c r="F155" s="22"/>
      <c r="G155" s="23">
        <f t="shared" si="65"/>
        <v>4920</v>
      </c>
      <c r="H155" s="23"/>
      <c r="I155" s="23"/>
      <c r="J155" s="23"/>
      <c r="K155" s="23">
        <f t="shared" si="66"/>
        <v>1476</v>
      </c>
      <c r="L155" s="23">
        <f>13500-G155-K155</f>
        <v>7104</v>
      </c>
      <c r="M155" s="23"/>
      <c r="N155" s="23"/>
      <c r="O155" s="23"/>
      <c r="P155" s="23"/>
      <c r="Q155" s="23"/>
      <c r="R155" s="23">
        <f>G155+L155+K155</f>
        <v>13500</v>
      </c>
      <c r="S155" s="25">
        <f t="shared" si="67"/>
        <v>94500</v>
      </c>
    </row>
    <row r="156" spans="1:20" s="38" customFormat="1" x14ac:dyDescent="0.25">
      <c r="A156" s="20" t="s">
        <v>238</v>
      </c>
      <c r="B156" s="21" t="s">
        <v>134</v>
      </c>
      <c r="C156" s="22">
        <v>1</v>
      </c>
      <c r="D156" s="22">
        <v>3</v>
      </c>
      <c r="E156" s="23">
        <v>3770</v>
      </c>
      <c r="F156" s="22"/>
      <c r="G156" s="23">
        <f t="shared" si="65"/>
        <v>3770</v>
      </c>
      <c r="H156" s="23"/>
      <c r="I156" s="23">
        <f>G156*0.1</f>
        <v>377</v>
      </c>
      <c r="J156" s="23"/>
      <c r="K156" s="23"/>
      <c r="L156" s="23"/>
      <c r="M156" s="23"/>
      <c r="N156" s="23"/>
      <c r="O156" s="23"/>
      <c r="P156" s="23">
        <f>8000-G156</f>
        <v>4230</v>
      </c>
      <c r="Q156" s="23"/>
      <c r="R156" s="23">
        <f>G156+I156+P156</f>
        <v>8377</v>
      </c>
      <c r="S156" s="25">
        <f t="shared" si="67"/>
        <v>58639</v>
      </c>
      <c r="T156" s="46"/>
    </row>
    <row r="157" spans="1:20" s="27" customFormat="1" ht="27" customHeight="1" thickBot="1" x14ac:dyDescent="0.3">
      <c r="A157" s="64"/>
      <c r="B157" s="47" t="s">
        <v>59</v>
      </c>
      <c r="C157" s="34">
        <f>SUM(C153:C156)</f>
        <v>5.25</v>
      </c>
      <c r="D157" s="34"/>
      <c r="E157" s="35">
        <f>SUM(E153:E156)</f>
        <v>29386.25</v>
      </c>
      <c r="F157" s="34">
        <f>SUM(F153:F156)</f>
        <v>906.625</v>
      </c>
      <c r="G157" s="35">
        <f t="shared" si="65"/>
        <v>30292.875</v>
      </c>
      <c r="H157" s="35"/>
      <c r="I157" s="35">
        <f>SUM(I156)</f>
        <v>377</v>
      </c>
      <c r="J157" s="35"/>
      <c r="K157" s="35">
        <f>SUM(K153:K156)</f>
        <v>7956.8624999999993</v>
      </c>
      <c r="L157" s="35">
        <f>SUM(L153:L156)</f>
        <v>31020.262500000001</v>
      </c>
      <c r="M157" s="35">
        <f>SUM(M153:M155)</f>
        <v>0</v>
      </c>
      <c r="N157" s="35"/>
      <c r="O157" s="35">
        <f>SUM(O153:O156)</f>
        <v>0</v>
      </c>
      <c r="P157" s="35">
        <f>SUM(P156)</f>
        <v>4230</v>
      </c>
      <c r="Q157" s="35"/>
      <c r="R157" s="35">
        <f>SUM(R153:R156)</f>
        <v>73877</v>
      </c>
      <c r="S157" s="36">
        <f>SUM(S153:S156)</f>
        <v>517139</v>
      </c>
    </row>
    <row r="158" spans="1:20" ht="24.6" customHeight="1" x14ac:dyDescent="0.25">
      <c r="A158" s="15"/>
      <c r="B158" s="55" t="s">
        <v>237</v>
      </c>
      <c r="C158" s="85"/>
      <c r="D158" s="85"/>
      <c r="E158" s="94"/>
      <c r="F158" s="85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110"/>
    </row>
    <row r="159" spans="1:20" x14ac:dyDescent="0.25">
      <c r="A159" s="20" t="s">
        <v>239</v>
      </c>
      <c r="B159" s="21" t="s">
        <v>206</v>
      </c>
      <c r="C159" s="22">
        <v>2</v>
      </c>
      <c r="D159" s="22">
        <v>11</v>
      </c>
      <c r="E159" s="23">
        <f>6294*C159</f>
        <v>12588</v>
      </c>
      <c r="F159" s="22">
        <f>E159*0.1</f>
        <v>1258.8000000000002</v>
      </c>
      <c r="G159" s="23">
        <f t="shared" ref="G159:G164" si="68">E159+F159</f>
        <v>13846.8</v>
      </c>
      <c r="H159" s="23"/>
      <c r="I159" s="23"/>
      <c r="J159" s="23"/>
      <c r="K159" s="23">
        <f>G159*0.3</f>
        <v>4154.04</v>
      </c>
      <c r="L159" s="23">
        <f>20000*C159-G159-K159</f>
        <v>21999.16</v>
      </c>
      <c r="M159" s="23"/>
      <c r="N159" s="23"/>
      <c r="O159" s="23"/>
      <c r="P159" s="23"/>
      <c r="Q159" s="23"/>
      <c r="R159" s="23">
        <f>SUM(G159:Q159)</f>
        <v>40000</v>
      </c>
      <c r="S159" s="25">
        <f>R159*7</f>
        <v>280000</v>
      </c>
    </row>
    <row r="160" spans="1:20" x14ac:dyDescent="0.25">
      <c r="A160" s="20" t="s">
        <v>240</v>
      </c>
      <c r="B160" s="21" t="s">
        <v>241</v>
      </c>
      <c r="C160" s="22">
        <v>2</v>
      </c>
      <c r="D160" s="22">
        <v>10</v>
      </c>
      <c r="E160" s="23">
        <f>5815*C160</f>
        <v>11630</v>
      </c>
      <c r="F160" s="22"/>
      <c r="G160" s="23">
        <f t="shared" si="68"/>
        <v>11630</v>
      </c>
      <c r="H160" s="23"/>
      <c r="I160" s="23"/>
      <c r="J160" s="23"/>
      <c r="K160" s="23">
        <f t="shared" ref="K160:K161" si="69">G160*0.3</f>
        <v>3489</v>
      </c>
      <c r="L160" s="23">
        <f>13500*C160-G160-K160</f>
        <v>11881</v>
      </c>
      <c r="M160" s="23"/>
      <c r="N160" s="23"/>
      <c r="O160" s="23"/>
      <c r="P160" s="23"/>
      <c r="Q160" s="23"/>
      <c r="R160" s="23">
        <f>G160+K160+L160</f>
        <v>27000</v>
      </c>
      <c r="S160" s="25">
        <f t="shared" ref="S160:S163" si="70">R160*7</f>
        <v>189000</v>
      </c>
    </row>
    <row r="161" spans="1:20" s="13" customFormat="1" x14ac:dyDescent="0.25">
      <c r="A161" s="20" t="s">
        <v>242</v>
      </c>
      <c r="B161" s="21" t="s">
        <v>91</v>
      </c>
      <c r="C161" s="22">
        <v>2</v>
      </c>
      <c r="D161" s="22">
        <v>9</v>
      </c>
      <c r="E161" s="23">
        <f>5527*C161</f>
        <v>11054</v>
      </c>
      <c r="F161" s="22"/>
      <c r="G161" s="23">
        <f t="shared" si="68"/>
        <v>11054</v>
      </c>
      <c r="H161" s="23"/>
      <c r="I161" s="23"/>
      <c r="J161" s="23"/>
      <c r="K161" s="23">
        <f t="shared" si="69"/>
        <v>3316.2</v>
      </c>
      <c r="L161" s="23">
        <f>13500*C161-G161-K161</f>
        <v>12629.8</v>
      </c>
      <c r="M161" s="23"/>
      <c r="N161" s="23"/>
      <c r="O161" s="23"/>
      <c r="P161" s="23"/>
      <c r="Q161" s="23"/>
      <c r="R161" s="23">
        <f>G161+K161+L161</f>
        <v>27000</v>
      </c>
      <c r="S161" s="25">
        <f t="shared" si="70"/>
        <v>189000</v>
      </c>
    </row>
    <row r="162" spans="1:20" x14ac:dyDescent="0.25">
      <c r="A162" s="20" t="s">
        <v>243</v>
      </c>
      <c r="B162" s="21" t="s">
        <v>134</v>
      </c>
      <c r="C162" s="22">
        <v>1</v>
      </c>
      <c r="D162" s="22">
        <v>3</v>
      </c>
      <c r="E162" s="23">
        <v>3770</v>
      </c>
      <c r="F162" s="22"/>
      <c r="G162" s="23">
        <f t="shared" si="68"/>
        <v>3770</v>
      </c>
      <c r="H162" s="23"/>
      <c r="I162" s="23">
        <f>G162*0.1</f>
        <v>377</v>
      </c>
      <c r="J162" s="23"/>
      <c r="K162" s="23"/>
      <c r="L162" s="23"/>
      <c r="M162" s="23"/>
      <c r="N162" s="23"/>
      <c r="O162" s="23"/>
      <c r="P162" s="23">
        <f>8000-G162</f>
        <v>4230</v>
      </c>
      <c r="Q162" s="23"/>
      <c r="R162" s="23">
        <f>SUM(G162:Q162)</f>
        <v>8377</v>
      </c>
      <c r="S162" s="25">
        <f t="shared" si="70"/>
        <v>58639</v>
      </c>
    </row>
    <row r="163" spans="1:20" s="38" customFormat="1" x14ac:dyDescent="0.25">
      <c r="A163" s="20" t="s">
        <v>244</v>
      </c>
      <c r="B163" s="21" t="s">
        <v>245</v>
      </c>
      <c r="C163" s="22">
        <v>1</v>
      </c>
      <c r="D163" s="22">
        <v>5</v>
      </c>
      <c r="E163" s="23">
        <v>4345</v>
      </c>
      <c r="F163" s="22"/>
      <c r="G163" s="23">
        <f t="shared" si="68"/>
        <v>4345</v>
      </c>
      <c r="H163" s="23"/>
      <c r="I163" s="23"/>
      <c r="J163" s="23"/>
      <c r="K163" s="23"/>
      <c r="L163" s="23"/>
      <c r="M163" s="23"/>
      <c r="N163" s="23"/>
      <c r="O163" s="23"/>
      <c r="P163" s="23">
        <f>8000-G163</f>
        <v>3655</v>
      </c>
      <c r="Q163" s="23"/>
      <c r="R163" s="23">
        <f>G163+P163</f>
        <v>8000</v>
      </c>
      <c r="S163" s="25">
        <f t="shared" si="70"/>
        <v>56000</v>
      </c>
    </row>
    <row r="164" spans="1:20" s="27" customFormat="1" ht="24.6" customHeight="1" thickBot="1" x14ac:dyDescent="0.3">
      <c r="A164" s="64"/>
      <c r="B164" s="47" t="s">
        <v>59</v>
      </c>
      <c r="C164" s="34">
        <f>SUM(C159:C163)</f>
        <v>8</v>
      </c>
      <c r="D164" s="34"/>
      <c r="E164" s="35">
        <f>SUM(E159:E163)</f>
        <v>43387</v>
      </c>
      <c r="F164" s="34">
        <f>SUM(F159:F163)</f>
        <v>1258.8000000000002</v>
      </c>
      <c r="G164" s="35">
        <f t="shared" si="68"/>
        <v>44645.8</v>
      </c>
      <c r="H164" s="35"/>
      <c r="I164" s="35">
        <f>SUM(I162:I163)</f>
        <v>377</v>
      </c>
      <c r="J164" s="35"/>
      <c r="K164" s="35">
        <f>SUM(K159:K163)</f>
        <v>10959.24</v>
      </c>
      <c r="L164" s="35">
        <f>SUM(L159:L163)</f>
        <v>46509.960000000006</v>
      </c>
      <c r="M164" s="35">
        <f>M159</f>
        <v>0</v>
      </c>
      <c r="N164" s="35"/>
      <c r="O164" s="35">
        <f>SUM(O159:O163)</f>
        <v>0</v>
      </c>
      <c r="P164" s="35">
        <f>SUM(P162:P163)</f>
        <v>7885</v>
      </c>
      <c r="Q164" s="35"/>
      <c r="R164" s="35">
        <f>SUM(R159:R163)</f>
        <v>110377</v>
      </c>
      <c r="S164" s="36">
        <f>SUM(S159:S163)</f>
        <v>772639</v>
      </c>
    </row>
    <row r="165" spans="1:20" s="13" customFormat="1" ht="25.8" customHeight="1" x14ac:dyDescent="0.2">
      <c r="A165" s="18"/>
      <c r="B165" s="55" t="s">
        <v>246</v>
      </c>
      <c r="C165" s="85"/>
      <c r="D165" s="85"/>
      <c r="E165" s="94"/>
      <c r="F165" s="85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110"/>
    </row>
    <row r="166" spans="1:20" x14ac:dyDescent="0.25">
      <c r="A166" s="20" t="s">
        <v>247</v>
      </c>
      <c r="B166" s="21" t="s">
        <v>232</v>
      </c>
      <c r="C166" s="22">
        <v>1.25</v>
      </c>
      <c r="D166" s="22">
        <v>11</v>
      </c>
      <c r="E166" s="23">
        <f>6294*C166</f>
        <v>7867.5</v>
      </c>
      <c r="F166" s="22">
        <f>E166*0.1</f>
        <v>786.75</v>
      </c>
      <c r="G166" s="23">
        <f t="shared" ref="G166:G169" si="71">E166+F166</f>
        <v>8654.25</v>
      </c>
      <c r="H166" s="23"/>
      <c r="I166" s="23"/>
      <c r="J166" s="23"/>
      <c r="K166" s="23">
        <f>G166*0.3</f>
        <v>2596.2750000000001</v>
      </c>
      <c r="L166" s="23">
        <f>20000*C166-G166-K166</f>
        <v>13749.475</v>
      </c>
      <c r="M166" s="23"/>
      <c r="N166" s="23"/>
      <c r="O166" s="23"/>
      <c r="P166" s="23"/>
      <c r="Q166" s="23"/>
      <c r="R166" s="23">
        <f>G166+K166+L166+O166</f>
        <v>25000</v>
      </c>
      <c r="S166" s="25">
        <f>R166*7</f>
        <v>175000</v>
      </c>
      <c r="T166" s="53"/>
    </row>
    <row r="167" spans="1:20" x14ac:dyDescent="0.25">
      <c r="A167" s="20" t="s">
        <v>248</v>
      </c>
      <c r="B167" s="21" t="s">
        <v>235</v>
      </c>
      <c r="C167" s="22">
        <v>1</v>
      </c>
      <c r="D167" s="22">
        <v>10</v>
      </c>
      <c r="E167" s="23">
        <v>5815</v>
      </c>
      <c r="F167" s="22"/>
      <c r="G167" s="23">
        <f t="shared" si="71"/>
        <v>5815</v>
      </c>
      <c r="H167" s="23"/>
      <c r="I167" s="23"/>
      <c r="J167" s="23"/>
      <c r="K167" s="23">
        <f t="shared" ref="K167:K168" si="72">G167*0.3</f>
        <v>1744.5</v>
      </c>
      <c r="L167" s="23">
        <f>13500-G167-K167</f>
        <v>5940.5</v>
      </c>
      <c r="M167" s="23"/>
      <c r="N167" s="23"/>
      <c r="O167" s="23"/>
      <c r="P167" s="23"/>
      <c r="Q167" s="23"/>
      <c r="R167" s="23">
        <f>G167+K167+L167</f>
        <v>13500</v>
      </c>
      <c r="S167" s="25">
        <f t="shared" ref="S167:S170" si="73">R167*7</f>
        <v>94500</v>
      </c>
    </row>
    <row r="168" spans="1:20" x14ac:dyDescent="0.25">
      <c r="A168" s="20" t="s">
        <v>249</v>
      </c>
      <c r="B168" s="21" t="s">
        <v>91</v>
      </c>
      <c r="C168" s="22">
        <v>0.5</v>
      </c>
      <c r="D168" s="22">
        <v>10</v>
      </c>
      <c r="E168" s="23">
        <v>2907.5</v>
      </c>
      <c r="F168" s="22"/>
      <c r="G168" s="23">
        <f t="shared" si="71"/>
        <v>2907.5</v>
      </c>
      <c r="H168" s="23"/>
      <c r="I168" s="23"/>
      <c r="J168" s="23"/>
      <c r="K168" s="23">
        <f t="shared" si="72"/>
        <v>872.25</v>
      </c>
      <c r="L168" s="23">
        <f>13500/2-G168-K168</f>
        <v>2970.25</v>
      </c>
      <c r="M168" s="23"/>
      <c r="N168" s="23"/>
      <c r="O168" s="23"/>
      <c r="P168" s="23"/>
      <c r="Q168" s="23"/>
      <c r="R168" s="23">
        <f>G168+K168+L168</f>
        <v>6750</v>
      </c>
      <c r="S168" s="25">
        <f t="shared" si="73"/>
        <v>47250</v>
      </c>
    </row>
    <row r="169" spans="1:20" x14ac:dyDescent="0.25">
      <c r="A169" s="20" t="s">
        <v>250</v>
      </c>
      <c r="B169" s="21" t="s">
        <v>134</v>
      </c>
      <c r="C169" s="22">
        <v>0.5</v>
      </c>
      <c r="D169" s="22">
        <v>3</v>
      </c>
      <c r="E169" s="23">
        <v>1885</v>
      </c>
      <c r="F169" s="22"/>
      <c r="G169" s="23">
        <f t="shared" si="71"/>
        <v>1885</v>
      </c>
      <c r="H169" s="23"/>
      <c r="I169" s="23">
        <f>G169*0.1</f>
        <v>188.5</v>
      </c>
      <c r="J169" s="23"/>
      <c r="K169" s="23"/>
      <c r="L169" s="23"/>
      <c r="M169" s="23"/>
      <c r="N169" s="23"/>
      <c r="O169" s="23"/>
      <c r="P169" s="23">
        <f>8000/2-G169</f>
        <v>2115</v>
      </c>
      <c r="Q169" s="23"/>
      <c r="R169" s="23">
        <f>SUM(G169:Q169)</f>
        <v>4188.5</v>
      </c>
      <c r="S169" s="25">
        <f t="shared" si="73"/>
        <v>29319.5</v>
      </c>
    </row>
    <row r="170" spans="1:20" s="38" customFormat="1" x14ac:dyDescent="0.25">
      <c r="A170" s="20" t="s">
        <v>251</v>
      </c>
      <c r="B170" s="21" t="s">
        <v>229</v>
      </c>
      <c r="C170" s="22">
        <v>0.5</v>
      </c>
      <c r="D170" s="22">
        <v>1</v>
      </c>
      <c r="E170" s="23">
        <v>1597.5</v>
      </c>
      <c r="F170" s="22"/>
      <c r="G170" s="23">
        <f>E170+F170</f>
        <v>1597.5</v>
      </c>
      <c r="H170" s="23"/>
      <c r="I170" s="23"/>
      <c r="J170" s="23"/>
      <c r="K170" s="23"/>
      <c r="L170" s="23"/>
      <c r="M170" s="23"/>
      <c r="N170" s="23"/>
      <c r="O170" s="23"/>
      <c r="P170" s="23">
        <f>8000/2-G170</f>
        <v>2402.5</v>
      </c>
      <c r="Q170" s="23"/>
      <c r="R170" s="23">
        <f t="shared" ref="R170" si="74">SUM(G170:Q170)</f>
        <v>4000</v>
      </c>
      <c r="S170" s="25">
        <f t="shared" si="73"/>
        <v>28000</v>
      </c>
    </row>
    <row r="171" spans="1:20" s="49" customFormat="1" ht="25.8" customHeight="1" thickBot="1" x14ac:dyDescent="0.3">
      <c r="A171" s="64"/>
      <c r="B171" s="47" t="s">
        <v>59</v>
      </c>
      <c r="C171" s="34">
        <f>SUM(C166:C170)</f>
        <v>3.75</v>
      </c>
      <c r="D171" s="34"/>
      <c r="E171" s="35">
        <f>SUM(E166:E170)</f>
        <v>20072.5</v>
      </c>
      <c r="F171" s="34">
        <f>SUM(F166:F170)</f>
        <v>786.75</v>
      </c>
      <c r="G171" s="35">
        <f>SUM(G166:G170)</f>
        <v>20859.25</v>
      </c>
      <c r="H171" s="35"/>
      <c r="I171" s="35">
        <f>SUM(I169:I170)</f>
        <v>188.5</v>
      </c>
      <c r="J171" s="35"/>
      <c r="K171" s="35">
        <f>SUM(K166:K170)</f>
        <v>5213.0249999999996</v>
      </c>
      <c r="L171" s="35">
        <f>SUM(L166:L170)</f>
        <v>22660.224999999999</v>
      </c>
      <c r="M171" s="35"/>
      <c r="N171" s="35"/>
      <c r="O171" s="35">
        <f>SUM(O166:O170)</f>
        <v>0</v>
      </c>
      <c r="P171" s="35">
        <f>SUM(P169:P170)</f>
        <v>4517.5</v>
      </c>
      <c r="Q171" s="35"/>
      <c r="R171" s="35">
        <f>SUM(R166:R170)</f>
        <v>53438.5</v>
      </c>
      <c r="S171" s="36">
        <f>SUM(S166:S170)</f>
        <v>374069.5</v>
      </c>
    </row>
    <row r="172" spans="1:20" s="13" customFormat="1" ht="23.4" customHeight="1" x14ac:dyDescent="0.2">
      <c r="A172" s="18"/>
      <c r="B172" s="55" t="s">
        <v>252</v>
      </c>
      <c r="C172" s="85"/>
      <c r="D172" s="85"/>
      <c r="E172" s="94"/>
      <c r="F172" s="85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110"/>
    </row>
    <row r="173" spans="1:20" s="13" customFormat="1" x14ac:dyDescent="0.25">
      <c r="A173" s="20" t="s">
        <v>253</v>
      </c>
      <c r="B173" s="21" t="s">
        <v>206</v>
      </c>
      <c r="C173" s="22">
        <v>1</v>
      </c>
      <c r="D173" s="22">
        <v>14</v>
      </c>
      <c r="E173" s="23">
        <v>7732</v>
      </c>
      <c r="F173" s="22">
        <f>E173*0.1</f>
        <v>773.2</v>
      </c>
      <c r="G173" s="23">
        <f t="shared" ref="G173:G180" si="75">E173+F173</f>
        <v>8505.2000000000007</v>
      </c>
      <c r="H173" s="23"/>
      <c r="I173" s="23"/>
      <c r="J173" s="23"/>
      <c r="K173" s="23">
        <f>G173*0.3</f>
        <v>2551.56</v>
      </c>
      <c r="L173" s="23">
        <f>20000-G173-K173</f>
        <v>8943.24</v>
      </c>
      <c r="M173" s="23"/>
      <c r="N173" s="23"/>
      <c r="O173" s="23"/>
      <c r="P173" s="23"/>
      <c r="Q173" s="23"/>
      <c r="R173" s="23">
        <f>G173+K173+L173+O173</f>
        <v>20000</v>
      </c>
      <c r="S173" s="25">
        <f>R173*7</f>
        <v>140000</v>
      </c>
    </row>
    <row r="174" spans="1:20" s="13" customFormat="1" x14ac:dyDescent="0.25">
      <c r="A174" s="20" t="s">
        <v>254</v>
      </c>
      <c r="B174" s="21" t="s">
        <v>112</v>
      </c>
      <c r="C174" s="22">
        <v>0.5</v>
      </c>
      <c r="D174" s="22">
        <v>13</v>
      </c>
      <c r="E174" s="23">
        <f>7253*C174</f>
        <v>3626.5</v>
      </c>
      <c r="F174" s="22"/>
      <c r="G174" s="23">
        <f t="shared" si="75"/>
        <v>3626.5</v>
      </c>
      <c r="H174" s="23"/>
      <c r="I174" s="23"/>
      <c r="J174" s="23"/>
      <c r="K174" s="23">
        <f t="shared" ref="K174:K177" si="76">G174*0.3</f>
        <v>1087.95</v>
      </c>
      <c r="L174" s="23">
        <f>20000*C174-G174-K174</f>
        <v>5285.55</v>
      </c>
      <c r="M174" s="23"/>
      <c r="N174" s="23"/>
      <c r="O174" s="23"/>
      <c r="P174" s="23"/>
      <c r="Q174" s="23"/>
      <c r="R174" s="23">
        <f>G174+K174+L174+O174</f>
        <v>10000</v>
      </c>
      <c r="S174" s="25">
        <f t="shared" ref="S174:S179" si="77">R174*7</f>
        <v>70000</v>
      </c>
    </row>
    <row r="175" spans="1:20" x14ac:dyDescent="0.25">
      <c r="A175" s="20" t="s">
        <v>255</v>
      </c>
      <c r="B175" s="21" t="s">
        <v>171</v>
      </c>
      <c r="C175" s="22">
        <v>1</v>
      </c>
      <c r="D175" s="22">
        <v>11</v>
      </c>
      <c r="E175" s="23">
        <v>6294</v>
      </c>
      <c r="F175" s="22"/>
      <c r="G175" s="23">
        <f t="shared" si="75"/>
        <v>6294</v>
      </c>
      <c r="H175" s="23"/>
      <c r="I175" s="23"/>
      <c r="J175" s="23"/>
      <c r="K175" s="23">
        <f t="shared" si="76"/>
        <v>1888.1999999999998</v>
      </c>
      <c r="L175" s="23">
        <f>20000-G175-K175</f>
        <v>11817.8</v>
      </c>
      <c r="M175" s="23"/>
      <c r="N175" s="23"/>
      <c r="O175" s="23"/>
      <c r="P175" s="23"/>
      <c r="Q175" s="23"/>
      <c r="R175" s="23">
        <f>G175+K175+L175+O175</f>
        <v>20000</v>
      </c>
      <c r="S175" s="25">
        <f t="shared" si="77"/>
        <v>140000</v>
      </c>
    </row>
    <row r="176" spans="1:20" x14ac:dyDescent="0.25">
      <c r="A176" s="20" t="s">
        <v>256</v>
      </c>
      <c r="B176" s="21" t="s">
        <v>212</v>
      </c>
      <c r="C176" s="22">
        <v>1</v>
      </c>
      <c r="D176" s="22">
        <v>10</v>
      </c>
      <c r="E176" s="23">
        <v>5815</v>
      </c>
      <c r="F176" s="22"/>
      <c r="G176" s="23">
        <f t="shared" si="75"/>
        <v>5815</v>
      </c>
      <c r="H176" s="23"/>
      <c r="I176" s="23"/>
      <c r="J176" s="23"/>
      <c r="K176" s="23">
        <f t="shared" si="76"/>
        <v>1744.5</v>
      </c>
      <c r="L176" s="23">
        <f>13500-G176-K176</f>
        <v>5940.5</v>
      </c>
      <c r="M176" s="23"/>
      <c r="N176" s="23"/>
      <c r="O176" s="23"/>
      <c r="P176" s="23"/>
      <c r="Q176" s="23"/>
      <c r="R176" s="23">
        <f>G176+K176+L176</f>
        <v>13500</v>
      </c>
      <c r="S176" s="25">
        <f t="shared" si="77"/>
        <v>94500</v>
      </c>
    </row>
    <row r="177" spans="1:20" x14ac:dyDescent="0.25">
      <c r="A177" s="20" t="s">
        <v>257</v>
      </c>
      <c r="B177" s="21" t="s">
        <v>235</v>
      </c>
      <c r="C177" s="22">
        <v>2</v>
      </c>
      <c r="D177" s="22">
        <v>10</v>
      </c>
      <c r="E177" s="23">
        <f>5815*C177</f>
        <v>11630</v>
      </c>
      <c r="F177" s="22"/>
      <c r="G177" s="23">
        <f t="shared" si="75"/>
        <v>11630</v>
      </c>
      <c r="H177" s="23"/>
      <c r="I177" s="23"/>
      <c r="J177" s="23"/>
      <c r="K177" s="23">
        <f t="shared" si="76"/>
        <v>3489</v>
      </c>
      <c r="L177" s="23">
        <f>13500*C177-G177-K177</f>
        <v>11881</v>
      </c>
      <c r="M177" s="23"/>
      <c r="N177" s="23"/>
      <c r="O177" s="23"/>
      <c r="P177" s="23"/>
      <c r="Q177" s="23"/>
      <c r="R177" s="23">
        <f t="shared" ref="R177" si="78">G177+K177+L177</f>
        <v>27000</v>
      </c>
      <c r="S177" s="25">
        <f t="shared" si="77"/>
        <v>189000</v>
      </c>
    </row>
    <row r="178" spans="1:20" x14ac:dyDescent="0.25">
      <c r="A178" s="20" t="s">
        <v>258</v>
      </c>
      <c r="B178" s="21" t="s">
        <v>134</v>
      </c>
      <c r="C178" s="22">
        <v>1</v>
      </c>
      <c r="D178" s="22">
        <v>3</v>
      </c>
      <c r="E178" s="23">
        <v>3770</v>
      </c>
      <c r="F178" s="22"/>
      <c r="G178" s="23">
        <f t="shared" si="75"/>
        <v>3770</v>
      </c>
      <c r="H178" s="23"/>
      <c r="I178" s="23">
        <f>G178*0.1</f>
        <v>377</v>
      </c>
      <c r="J178" s="23"/>
      <c r="K178" s="23"/>
      <c r="L178" s="23"/>
      <c r="M178" s="23"/>
      <c r="N178" s="23"/>
      <c r="O178" s="23"/>
      <c r="P178" s="23">
        <f>8000-G178</f>
        <v>4230</v>
      </c>
      <c r="Q178" s="23"/>
      <c r="R178" s="23">
        <f>G178+I178+P178</f>
        <v>8377</v>
      </c>
      <c r="S178" s="25">
        <f t="shared" si="77"/>
        <v>58639</v>
      </c>
      <c r="T178" s="53"/>
    </row>
    <row r="179" spans="1:20" s="38" customFormat="1" x14ac:dyDescent="0.25">
      <c r="A179" s="20" t="s">
        <v>260</v>
      </c>
      <c r="B179" s="21" t="s">
        <v>245</v>
      </c>
      <c r="C179" s="22">
        <v>0.5</v>
      </c>
      <c r="D179" s="22">
        <v>5</v>
      </c>
      <c r="E179" s="23">
        <v>2172.5</v>
      </c>
      <c r="F179" s="22"/>
      <c r="G179" s="23">
        <f t="shared" si="75"/>
        <v>2172.5</v>
      </c>
      <c r="H179" s="23"/>
      <c r="I179" s="23"/>
      <c r="J179" s="23"/>
      <c r="K179" s="23"/>
      <c r="L179" s="23"/>
      <c r="M179" s="23"/>
      <c r="N179" s="23"/>
      <c r="O179" s="23"/>
      <c r="P179" s="23">
        <f>8000/2-G179</f>
        <v>1827.5</v>
      </c>
      <c r="Q179" s="23"/>
      <c r="R179" s="23">
        <f>SUM(G179:Q179)</f>
        <v>4000</v>
      </c>
      <c r="S179" s="25">
        <f t="shared" si="77"/>
        <v>28000</v>
      </c>
    </row>
    <row r="180" spans="1:20" s="49" customFormat="1" ht="45" customHeight="1" thickBot="1" x14ac:dyDescent="0.3">
      <c r="A180" s="64"/>
      <c r="B180" s="47" t="s">
        <v>59</v>
      </c>
      <c r="C180" s="34">
        <f>SUM(C173:C179)</f>
        <v>7</v>
      </c>
      <c r="D180" s="34"/>
      <c r="E180" s="35">
        <f>SUM(E173:E179)</f>
        <v>41040</v>
      </c>
      <c r="F180" s="34">
        <f>SUM(F173:F179)</f>
        <v>773.2</v>
      </c>
      <c r="G180" s="35">
        <f t="shared" si="75"/>
        <v>41813.199999999997</v>
      </c>
      <c r="H180" s="35"/>
      <c r="I180" s="35">
        <f>SUM(I178:I179)</f>
        <v>377</v>
      </c>
      <c r="J180" s="35"/>
      <c r="K180" s="35">
        <f>SUM(K173:K179)</f>
        <v>10761.21</v>
      </c>
      <c r="L180" s="35">
        <f>SUM(L173:L179)</f>
        <v>43868.09</v>
      </c>
      <c r="M180" s="35"/>
      <c r="N180" s="35"/>
      <c r="O180" s="35">
        <f>SUM(O173:O179)</f>
        <v>0</v>
      </c>
      <c r="P180" s="35">
        <f>SUM(P173:P179)</f>
        <v>6057.5</v>
      </c>
      <c r="Q180" s="35"/>
      <c r="R180" s="35">
        <f>SUM(R173:R179)</f>
        <v>102877</v>
      </c>
      <c r="S180" s="36">
        <f>SUM(S173:S179)</f>
        <v>720139</v>
      </c>
    </row>
    <row r="181" spans="1:20" s="13" customFormat="1" ht="22.8" customHeight="1" x14ac:dyDescent="0.2">
      <c r="A181" s="18"/>
      <c r="B181" s="55" t="s">
        <v>259</v>
      </c>
      <c r="C181" s="85"/>
      <c r="D181" s="85"/>
      <c r="E181" s="94"/>
      <c r="F181" s="85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110"/>
    </row>
    <row r="182" spans="1:20" s="13" customFormat="1" x14ac:dyDescent="0.25">
      <c r="A182" s="20" t="s">
        <v>261</v>
      </c>
      <c r="B182" s="21" t="s">
        <v>206</v>
      </c>
      <c r="C182" s="22">
        <v>1</v>
      </c>
      <c r="D182" s="22">
        <v>14</v>
      </c>
      <c r="E182" s="23">
        <f>7732*C182</f>
        <v>7732</v>
      </c>
      <c r="F182" s="22">
        <f>E182*0.1</f>
        <v>773.2</v>
      </c>
      <c r="G182" s="23">
        <f t="shared" ref="G182:G185" si="79">E182+F182</f>
        <v>8505.2000000000007</v>
      </c>
      <c r="H182" s="23"/>
      <c r="I182" s="23"/>
      <c r="J182" s="23"/>
      <c r="K182" s="23"/>
      <c r="L182" s="23">
        <f>20000*C182-G182</f>
        <v>11494.8</v>
      </c>
      <c r="M182" s="23"/>
      <c r="N182" s="23"/>
      <c r="O182" s="23"/>
      <c r="P182" s="23"/>
      <c r="Q182" s="23"/>
      <c r="R182" s="23">
        <f>SUM(G182:Q182)</f>
        <v>20000</v>
      </c>
      <c r="S182" s="25">
        <f>R182*7</f>
        <v>140000</v>
      </c>
    </row>
    <row r="183" spans="1:20" x14ac:dyDescent="0.25">
      <c r="A183" s="20" t="s">
        <v>262</v>
      </c>
      <c r="B183" s="21" t="s">
        <v>235</v>
      </c>
      <c r="C183" s="22">
        <v>1</v>
      </c>
      <c r="D183" s="22">
        <v>10</v>
      </c>
      <c r="E183" s="23">
        <v>5815</v>
      </c>
      <c r="F183" s="22"/>
      <c r="G183" s="23">
        <f t="shared" si="79"/>
        <v>5815</v>
      </c>
      <c r="H183" s="23"/>
      <c r="I183" s="23"/>
      <c r="J183" s="23"/>
      <c r="K183" s="23">
        <f>G183*0.3</f>
        <v>1744.5</v>
      </c>
      <c r="L183" s="23">
        <f>13500-G183-K183</f>
        <v>5940.5</v>
      </c>
      <c r="M183" s="23"/>
      <c r="N183" s="23"/>
      <c r="O183" s="23"/>
      <c r="P183" s="23"/>
      <c r="Q183" s="23"/>
      <c r="R183" s="23">
        <f>G183+K183+L183</f>
        <v>13500</v>
      </c>
      <c r="S183" s="25">
        <f t="shared" ref="S183:S184" si="80">R183*7</f>
        <v>94500</v>
      </c>
      <c r="T183" s="53"/>
    </row>
    <row r="184" spans="1:20" s="38" customFormat="1" x14ac:dyDescent="0.25">
      <c r="A184" s="20" t="s">
        <v>264</v>
      </c>
      <c r="B184" s="21" t="s">
        <v>134</v>
      </c>
      <c r="C184" s="22">
        <v>1</v>
      </c>
      <c r="D184" s="22">
        <v>3</v>
      </c>
      <c r="E184" s="23">
        <v>3770</v>
      </c>
      <c r="F184" s="22"/>
      <c r="G184" s="23">
        <f t="shared" si="79"/>
        <v>3770</v>
      </c>
      <c r="H184" s="23"/>
      <c r="I184" s="23">
        <f>G184*0.1</f>
        <v>377</v>
      </c>
      <c r="J184" s="23"/>
      <c r="K184" s="23"/>
      <c r="L184" s="23"/>
      <c r="M184" s="23"/>
      <c r="N184" s="23"/>
      <c r="O184" s="23"/>
      <c r="P184" s="23">
        <f>8000-G184</f>
        <v>4230</v>
      </c>
      <c r="Q184" s="23"/>
      <c r="R184" s="23">
        <f>G184+I184+P184</f>
        <v>8377</v>
      </c>
      <c r="S184" s="25">
        <f t="shared" si="80"/>
        <v>58639</v>
      </c>
    </row>
    <row r="185" spans="1:20" s="49" customFormat="1" ht="23.4" customHeight="1" thickBot="1" x14ac:dyDescent="0.3">
      <c r="A185" s="64"/>
      <c r="B185" s="47" t="s">
        <v>59</v>
      </c>
      <c r="C185" s="34">
        <f>SUM(C182:C184)</f>
        <v>3</v>
      </c>
      <c r="D185" s="34"/>
      <c r="E185" s="35">
        <f>SUM(E182:E184)</f>
        <v>17317</v>
      </c>
      <c r="F185" s="34">
        <f>SUM(F182:F184)</f>
        <v>773.2</v>
      </c>
      <c r="G185" s="35">
        <f t="shared" si="79"/>
        <v>18090.2</v>
      </c>
      <c r="H185" s="35"/>
      <c r="I185" s="35">
        <f>SUM(I184)</f>
        <v>377</v>
      </c>
      <c r="J185" s="35"/>
      <c r="K185" s="35">
        <f>K183</f>
        <v>1744.5</v>
      </c>
      <c r="L185" s="35">
        <f>L182+L183</f>
        <v>17435.3</v>
      </c>
      <c r="M185" s="35">
        <f>M182</f>
        <v>0</v>
      </c>
      <c r="N185" s="35"/>
      <c r="O185" s="35"/>
      <c r="P185" s="35">
        <f>SUM(P184)</f>
        <v>4230</v>
      </c>
      <c r="Q185" s="35"/>
      <c r="R185" s="35">
        <f>SUM(R182:R184)</f>
        <v>41877</v>
      </c>
      <c r="S185" s="36">
        <f>SUM(S182:S184)</f>
        <v>293139</v>
      </c>
    </row>
    <row r="186" spans="1:20" ht="21" customHeight="1" x14ac:dyDescent="0.25">
      <c r="A186" s="15"/>
      <c r="B186" s="55" t="s">
        <v>312</v>
      </c>
      <c r="C186" s="85"/>
      <c r="D186" s="85"/>
      <c r="E186" s="94"/>
      <c r="F186" s="85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110"/>
    </row>
    <row r="187" spans="1:20" ht="24.6" customHeight="1" x14ac:dyDescent="0.25">
      <c r="A187" s="20"/>
      <c r="B187" s="44" t="s">
        <v>263</v>
      </c>
      <c r="C187" s="22"/>
      <c r="D187" s="22"/>
      <c r="E187" s="23"/>
      <c r="F187" s="22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5"/>
    </row>
    <row r="188" spans="1:20" x14ac:dyDescent="0.25">
      <c r="A188" s="20" t="s">
        <v>264</v>
      </c>
      <c r="B188" s="21" t="s">
        <v>220</v>
      </c>
      <c r="C188" s="22">
        <v>0.5</v>
      </c>
      <c r="D188" s="22">
        <v>10</v>
      </c>
      <c r="E188" s="23">
        <v>2907.5</v>
      </c>
      <c r="F188" s="22"/>
      <c r="G188" s="23">
        <f t="shared" ref="G188:G191" si="81">E188+F188</f>
        <v>2907.5</v>
      </c>
      <c r="H188" s="23"/>
      <c r="I188" s="23"/>
      <c r="J188" s="23"/>
      <c r="K188" s="23">
        <f>G188*0.3</f>
        <v>872.25</v>
      </c>
      <c r="L188" s="23">
        <f>R188-K188-G188</f>
        <v>2970.25</v>
      </c>
      <c r="M188" s="23"/>
      <c r="N188" s="23"/>
      <c r="O188" s="23"/>
      <c r="P188" s="23"/>
      <c r="Q188" s="23"/>
      <c r="R188" s="23">
        <v>6750</v>
      </c>
      <c r="S188" s="25">
        <f>R188*7</f>
        <v>47250</v>
      </c>
    </row>
    <row r="189" spans="1:20" x14ac:dyDescent="0.25">
      <c r="A189" s="20" t="s">
        <v>265</v>
      </c>
      <c r="B189" s="21" t="s">
        <v>134</v>
      </c>
      <c r="C189" s="22">
        <v>0.25</v>
      </c>
      <c r="D189" s="22">
        <v>3</v>
      </c>
      <c r="E189" s="23">
        <v>942.5</v>
      </c>
      <c r="F189" s="22"/>
      <c r="G189" s="23">
        <f t="shared" si="81"/>
        <v>942.5</v>
      </c>
      <c r="H189" s="23"/>
      <c r="I189" s="23">
        <f>G189*0.1</f>
        <v>94.25</v>
      </c>
      <c r="J189" s="23"/>
      <c r="K189" s="23"/>
      <c r="L189" s="23"/>
      <c r="M189" s="23"/>
      <c r="N189" s="23"/>
      <c r="O189" s="23"/>
      <c r="P189" s="23">
        <f>8000*0.25-G189</f>
        <v>1057.5</v>
      </c>
      <c r="Q189" s="23"/>
      <c r="R189" s="23">
        <f>E189+I189+P189</f>
        <v>2094.25</v>
      </c>
      <c r="S189" s="25">
        <f>R189*7</f>
        <v>14659.75</v>
      </c>
    </row>
    <row r="190" spans="1:20" s="38" customFormat="1" x14ac:dyDescent="0.25">
      <c r="A190" s="20" t="s">
        <v>266</v>
      </c>
      <c r="B190" s="21" t="s">
        <v>267</v>
      </c>
      <c r="C190" s="22">
        <v>0.25</v>
      </c>
      <c r="D190" s="22">
        <v>1</v>
      </c>
      <c r="E190" s="23">
        <v>798.75</v>
      </c>
      <c r="F190" s="22"/>
      <c r="G190" s="23">
        <f t="shared" si="81"/>
        <v>798.75</v>
      </c>
      <c r="H190" s="23"/>
      <c r="I190" s="23"/>
      <c r="J190" s="23"/>
      <c r="K190" s="23"/>
      <c r="L190" s="23"/>
      <c r="M190" s="23"/>
      <c r="N190" s="23"/>
      <c r="O190" s="23"/>
      <c r="P190" s="23">
        <f>8000*0.25-G190</f>
        <v>1201.25</v>
      </c>
      <c r="Q190" s="23"/>
      <c r="R190" s="23">
        <f>E190+P190</f>
        <v>2000</v>
      </c>
      <c r="S190" s="25">
        <f>R190*3</f>
        <v>6000</v>
      </c>
    </row>
    <row r="191" spans="1:20" s="27" customFormat="1" ht="24" customHeight="1" thickBot="1" x14ac:dyDescent="0.3">
      <c r="A191" s="112"/>
      <c r="B191" s="113" t="s">
        <v>59</v>
      </c>
      <c r="C191" s="114">
        <f>C188+C189+C190</f>
        <v>1</v>
      </c>
      <c r="D191" s="114"/>
      <c r="E191" s="115">
        <f>E188+E189+E190</f>
        <v>4648.75</v>
      </c>
      <c r="F191" s="114"/>
      <c r="G191" s="115">
        <f t="shared" si="81"/>
        <v>4648.75</v>
      </c>
      <c r="H191" s="115"/>
      <c r="I191" s="115">
        <f>SUM(I189)</f>
        <v>94.25</v>
      </c>
      <c r="J191" s="115"/>
      <c r="K191" s="115">
        <f>SUM(K188:K189)</f>
        <v>872.25</v>
      </c>
      <c r="L191" s="115">
        <f>SUM(L188:L189)</f>
        <v>2970.25</v>
      </c>
      <c r="M191" s="115"/>
      <c r="N191" s="115"/>
      <c r="O191" s="115"/>
      <c r="P191" s="115">
        <f>P189+P190</f>
        <v>2258.75</v>
      </c>
      <c r="Q191" s="115"/>
      <c r="R191" s="115">
        <f>SUM(R188:R190)</f>
        <v>10844.25</v>
      </c>
      <c r="S191" s="116">
        <f>SUM(S188:S190)</f>
        <v>67909.75</v>
      </c>
    </row>
    <row r="192" spans="1:20" s="13" customFormat="1" ht="20.399999999999999" customHeight="1" x14ac:dyDescent="0.2">
      <c r="A192" s="18"/>
      <c r="B192" s="55" t="s">
        <v>268</v>
      </c>
      <c r="C192" s="85"/>
      <c r="D192" s="85"/>
      <c r="E192" s="94"/>
      <c r="F192" s="85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110"/>
    </row>
    <row r="193" spans="1:20" x14ac:dyDescent="0.25">
      <c r="A193" s="20" t="s">
        <v>269</v>
      </c>
      <c r="B193" s="21" t="s">
        <v>220</v>
      </c>
      <c r="C193" s="22">
        <v>0.5</v>
      </c>
      <c r="D193" s="22">
        <v>9</v>
      </c>
      <c r="E193" s="23">
        <v>2763.5</v>
      </c>
      <c r="F193" s="22"/>
      <c r="G193" s="23">
        <f t="shared" ref="G193:G196" si="82">E193+F193</f>
        <v>2763.5</v>
      </c>
      <c r="H193" s="23"/>
      <c r="I193" s="23"/>
      <c r="J193" s="23"/>
      <c r="K193" s="23">
        <f>G193*0.3</f>
        <v>829.05</v>
      </c>
      <c r="L193" s="23">
        <f>6750-G193-K193</f>
        <v>3157.45</v>
      </c>
      <c r="M193" s="23"/>
      <c r="N193" s="23"/>
      <c r="O193" s="23"/>
      <c r="P193" s="23"/>
      <c r="Q193" s="23"/>
      <c r="R193" s="23">
        <f>G193+K193+L193</f>
        <v>6750</v>
      </c>
      <c r="S193" s="25">
        <f>R193*7</f>
        <v>47250</v>
      </c>
    </row>
    <row r="194" spans="1:20" x14ac:dyDescent="0.25">
      <c r="A194" s="20" t="s">
        <v>270</v>
      </c>
      <c r="B194" s="21" t="s">
        <v>134</v>
      </c>
      <c r="C194" s="22">
        <v>0.25</v>
      </c>
      <c r="D194" s="22">
        <v>3</v>
      </c>
      <c r="E194" s="23">
        <v>942.5</v>
      </c>
      <c r="F194" s="22"/>
      <c r="G194" s="23">
        <f t="shared" si="82"/>
        <v>942.5</v>
      </c>
      <c r="H194" s="23"/>
      <c r="I194" s="23">
        <f>G194*0.1</f>
        <v>94.25</v>
      </c>
      <c r="J194" s="23"/>
      <c r="K194" s="23"/>
      <c r="L194" s="23"/>
      <c r="M194" s="23"/>
      <c r="N194" s="23"/>
      <c r="O194" s="23"/>
      <c r="P194" s="23">
        <f>8000*0.25-G194</f>
        <v>1057.5</v>
      </c>
      <c r="Q194" s="23"/>
      <c r="R194" s="23">
        <f>E194+I194+P194</f>
        <v>2094.25</v>
      </c>
      <c r="S194" s="25">
        <f>R194*7</f>
        <v>14659.75</v>
      </c>
    </row>
    <row r="195" spans="1:20" s="38" customFormat="1" x14ac:dyDescent="0.25">
      <c r="A195" s="20" t="s">
        <v>271</v>
      </c>
      <c r="B195" s="21" t="s">
        <v>227</v>
      </c>
      <c r="C195" s="22">
        <v>0.5</v>
      </c>
      <c r="D195" s="22">
        <v>1</v>
      </c>
      <c r="E195" s="23">
        <v>1597.5</v>
      </c>
      <c r="F195" s="22"/>
      <c r="G195" s="23">
        <f t="shared" si="82"/>
        <v>1597.5</v>
      </c>
      <c r="H195" s="23"/>
      <c r="I195" s="23"/>
      <c r="J195" s="23"/>
      <c r="K195" s="23"/>
      <c r="L195" s="23"/>
      <c r="M195" s="23"/>
      <c r="N195" s="23"/>
      <c r="O195" s="23"/>
      <c r="P195" s="23">
        <f>8000/2-G195</f>
        <v>2402.5</v>
      </c>
      <c r="Q195" s="23"/>
      <c r="R195" s="23">
        <f>E195+P195</f>
        <v>4000</v>
      </c>
      <c r="S195" s="25">
        <f>R195*3</f>
        <v>12000</v>
      </c>
    </row>
    <row r="196" spans="1:20" s="27" customFormat="1" ht="27.6" customHeight="1" thickBot="1" x14ac:dyDescent="0.3">
      <c r="A196" s="64"/>
      <c r="B196" s="47" t="s">
        <v>59</v>
      </c>
      <c r="C196" s="34">
        <f>C193+C194+C195</f>
        <v>1.25</v>
      </c>
      <c r="D196" s="34"/>
      <c r="E196" s="35">
        <f>E193+E194+E195</f>
        <v>5303.5</v>
      </c>
      <c r="F196" s="34"/>
      <c r="G196" s="35">
        <f t="shared" si="82"/>
        <v>5303.5</v>
      </c>
      <c r="H196" s="35"/>
      <c r="I196" s="35">
        <f>SUM(I193:I194)</f>
        <v>94.25</v>
      </c>
      <c r="J196" s="35"/>
      <c r="K196" s="35">
        <f>SUM(K193:K195)</f>
        <v>829.05</v>
      </c>
      <c r="L196" s="35">
        <f>SUM(L192:L194)</f>
        <v>3157.45</v>
      </c>
      <c r="M196" s="35"/>
      <c r="N196" s="35"/>
      <c r="O196" s="35"/>
      <c r="P196" s="35">
        <f>P194+P195</f>
        <v>3460</v>
      </c>
      <c r="Q196" s="35"/>
      <c r="R196" s="35">
        <f>SUM(R193:R195)</f>
        <v>12844.25</v>
      </c>
      <c r="S196" s="36">
        <f>SUM(S193:S195)</f>
        <v>73909.75</v>
      </c>
    </row>
    <row r="197" spans="1:20" ht="22.8" customHeight="1" x14ac:dyDescent="0.25">
      <c r="A197" s="57"/>
      <c r="B197" s="111" t="s">
        <v>272</v>
      </c>
      <c r="C197" s="91"/>
      <c r="D197" s="91"/>
      <c r="E197" s="51"/>
      <c r="F197" s="9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97"/>
      <c r="T197" s="65"/>
    </row>
    <row r="198" spans="1:20" x14ac:dyDescent="0.25">
      <c r="A198" s="20" t="s">
        <v>273</v>
      </c>
      <c r="B198" s="21" t="s">
        <v>130</v>
      </c>
      <c r="C198" s="22">
        <v>1</v>
      </c>
      <c r="D198" s="22">
        <v>10</v>
      </c>
      <c r="E198" s="23">
        <v>5815</v>
      </c>
      <c r="F198" s="22"/>
      <c r="G198" s="23">
        <f t="shared" ref="G198:G201" si="83">E198+F198</f>
        <v>5815</v>
      </c>
      <c r="H198" s="23"/>
      <c r="I198" s="23"/>
      <c r="J198" s="23"/>
      <c r="K198" s="23">
        <f>G198*0.3</f>
        <v>1744.5</v>
      </c>
      <c r="L198" s="23">
        <f>13500-G198-K198</f>
        <v>5940.5</v>
      </c>
      <c r="M198" s="23"/>
      <c r="N198" s="23"/>
      <c r="O198" s="23"/>
      <c r="P198" s="23"/>
      <c r="Q198" s="23"/>
      <c r="R198" s="23">
        <f>G198+K198+L198</f>
        <v>13500</v>
      </c>
      <c r="S198" s="25">
        <f>R198*7</f>
        <v>94500</v>
      </c>
    </row>
    <row r="199" spans="1:20" x14ac:dyDescent="0.25">
      <c r="A199" s="20" t="s">
        <v>274</v>
      </c>
      <c r="B199" s="21" t="s">
        <v>134</v>
      </c>
      <c r="C199" s="22">
        <v>0.25</v>
      </c>
      <c r="D199" s="22">
        <v>3</v>
      </c>
      <c r="E199" s="23">
        <v>942.5</v>
      </c>
      <c r="F199" s="22"/>
      <c r="G199" s="23">
        <f t="shared" si="83"/>
        <v>942.5</v>
      </c>
      <c r="H199" s="23"/>
      <c r="I199" s="23">
        <f>G199*0.1</f>
        <v>94.25</v>
      </c>
      <c r="J199" s="23"/>
      <c r="K199" s="23"/>
      <c r="L199" s="23"/>
      <c r="M199" s="23"/>
      <c r="N199" s="23"/>
      <c r="O199" s="23"/>
      <c r="P199" s="23">
        <f>8000*0.25-G199</f>
        <v>1057.5</v>
      </c>
      <c r="Q199" s="23"/>
      <c r="R199" s="23">
        <f>E199+I199+P199</f>
        <v>2094.25</v>
      </c>
      <c r="S199" s="25">
        <f>R199*7</f>
        <v>14659.75</v>
      </c>
    </row>
    <row r="200" spans="1:20" s="38" customFormat="1" x14ac:dyDescent="0.25">
      <c r="A200" s="20" t="s">
        <v>275</v>
      </c>
      <c r="B200" s="21" t="s">
        <v>267</v>
      </c>
      <c r="C200" s="22">
        <v>0.25</v>
      </c>
      <c r="D200" s="22">
        <v>1</v>
      </c>
      <c r="E200" s="23">
        <v>798.75</v>
      </c>
      <c r="F200" s="22"/>
      <c r="G200" s="23">
        <f t="shared" si="83"/>
        <v>798.75</v>
      </c>
      <c r="H200" s="23"/>
      <c r="I200" s="23"/>
      <c r="J200" s="23"/>
      <c r="K200" s="23"/>
      <c r="L200" s="23"/>
      <c r="M200" s="23"/>
      <c r="N200" s="23"/>
      <c r="O200" s="23"/>
      <c r="P200" s="23">
        <f>8000*0.25-G200</f>
        <v>1201.25</v>
      </c>
      <c r="Q200" s="23"/>
      <c r="R200" s="23">
        <f>E200+P200</f>
        <v>2000</v>
      </c>
      <c r="S200" s="25">
        <f>R200*3</f>
        <v>6000</v>
      </c>
    </row>
    <row r="201" spans="1:20" s="27" customFormat="1" ht="26.4" customHeight="1" thickBot="1" x14ac:dyDescent="0.3">
      <c r="A201" s="64"/>
      <c r="B201" s="47" t="s">
        <v>59</v>
      </c>
      <c r="C201" s="34">
        <f>SUM(C198:C200)</f>
        <v>1.5</v>
      </c>
      <c r="D201" s="34"/>
      <c r="E201" s="35">
        <f>SUM(E198:E200)</f>
        <v>7556.25</v>
      </c>
      <c r="F201" s="34">
        <f>SUM(F198:F200)</f>
        <v>0</v>
      </c>
      <c r="G201" s="35">
        <f t="shared" si="83"/>
        <v>7556.25</v>
      </c>
      <c r="H201" s="35"/>
      <c r="I201" s="35">
        <f>SUM(I199:I200)</f>
        <v>94.25</v>
      </c>
      <c r="J201" s="35"/>
      <c r="K201" s="35">
        <f>SUM(K198:K200)</f>
        <v>1744.5</v>
      </c>
      <c r="L201" s="35">
        <f>SUM(L198:L200)</f>
        <v>5940.5</v>
      </c>
      <c r="M201" s="35"/>
      <c r="N201" s="35"/>
      <c r="O201" s="35"/>
      <c r="P201" s="35">
        <f>P199+P200</f>
        <v>2258.75</v>
      </c>
      <c r="Q201" s="35"/>
      <c r="R201" s="35">
        <f>SUM(R198:R200)</f>
        <v>17594.25</v>
      </c>
      <c r="S201" s="36">
        <f>SUM(S198:S200)</f>
        <v>115159.75</v>
      </c>
    </row>
    <row r="202" spans="1:20" ht="22.2" customHeight="1" x14ac:dyDescent="0.25">
      <c r="A202" s="15"/>
      <c r="B202" s="55" t="s">
        <v>276</v>
      </c>
      <c r="C202" s="85"/>
      <c r="D202" s="85"/>
      <c r="E202" s="94"/>
      <c r="F202" s="85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110"/>
    </row>
    <row r="203" spans="1:20" x14ac:dyDescent="0.25">
      <c r="A203" s="20" t="s">
        <v>277</v>
      </c>
      <c r="B203" s="21" t="s">
        <v>220</v>
      </c>
      <c r="C203" s="22">
        <v>1</v>
      </c>
      <c r="D203" s="22">
        <v>10</v>
      </c>
      <c r="E203" s="23">
        <v>5815</v>
      </c>
      <c r="F203" s="22"/>
      <c r="G203" s="23">
        <f t="shared" ref="G203:G206" si="84">E203+F203</f>
        <v>5815</v>
      </c>
      <c r="H203" s="23"/>
      <c r="I203" s="23"/>
      <c r="J203" s="23"/>
      <c r="K203" s="23">
        <f>G203*0.3</f>
        <v>1744.5</v>
      </c>
      <c r="L203" s="23">
        <f>13500-G203-K203</f>
        <v>5940.5</v>
      </c>
      <c r="M203" s="23"/>
      <c r="N203" s="23"/>
      <c r="O203" s="23"/>
      <c r="P203" s="23"/>
      <c r="Q203" s="23"/>
      <c r="R203" s="23">
        <f>G203+K203+L203</f>
        <v>13500</v>
      </c>
      <c r="S203" s="25">
        <f>R203*7</f>
        <v>94500</v>
      </c>
    </row>
    <row r="204" spans="1:20" x14ac:dyDescent="0.25">
      <c r="A204" s="20" t="s">
        <v>278</v>
      </c>
      <c r="B204" s="21" t="s">
        <v>134</v>
      </c>
      <c r="C204" s="22">
        <v>0.25</v>
      </c>
      <c r="D204" s="22">
        <v>3</v>
      </c>
      <c r="E204" s="23">
        <v>942.5</v>
      </c>
      <c r="F204" s="22"/>
      <c r="G204" s="23">
        <f t="shared" si="84"/>
        <v>942.5</v>
      </c>
      <c r="H204" s="23"/>
      <c r="I204" s="23">
        <f>G204*0.1</f>
        <v>94.25</v>
      </c>
      <c r="J204" s="23"/>
      <c r="K204" s="23"/>
      <c r="L204" s="23"/>
      <c r="M204" s="23"/>
      <c r="N204" s="23"/>
      <c r="O204" s="23"/>
      <c r="P204" s="23">
        <f>8000*0.25-G204</f>
        <v>1057.5</v>
      </c>
      <c r="Q204" s="23"/>
      <c r="R204" s="23">
        <f>E204+I204+P204</f>
        <v>2094.25</v>
      </c>
      <c r="S204" s="25">
        <f>R204*7</f>
        <v>14659.75</v>
      </c>
    </row>
    <row r="205" spans="1:20" s="38" customFormat="1" x14ac:dyDescent="0.25">
      <c r="A205" s="20" t="s">
        <v>279</v>
      </c>
      <c r="B205" s="21" t="s">
        <v>267</v>
      </c>
      <c r="C205" s="22">
        <v>0.25</v>
      </c>
      <c r="D205" s="22">
        <v>1</v>
      </c>
      <c r="E205" s="23">
        <v>798.75</v>
      </c>
      <c r="F205" s="22"/>
      <c r="G205" s="23">
        <f t="shared" si="84"/>
        <v>798.75</v>
      </c>
      <c r="H205" s="23"/>
      <c r="I205" s="23"/>
      <c r="J205" s="23"/>
      <c r="K205" s="23"/>
      <c r="L205" s="23"/>
      <c r="M205" s="23"/>
      <c r="N205" s="23"/>
      <c r="O205" s="23"/>
      <c r="P205" s="23">
        <f>8000*0.25-G205</f>
        <v>1201.25</v>
      </c>
      <c r="Q205" s="23"/>
      <c r="R205" s="23">
        <f>E205+P205</f>
        <v>2000</v>
      </c>
      <c r="S205" s="25">
        <f>R205*3</f>
        <v>6000</v>
      </c>
    </row>
    <row r="206" spans="1:20" s="27" customFormat="1" ht="28.2" customHeight="1" thickBot="1" x14ac:dyDescent="0.3">
      <c r="A206" s="64"/>
      <c r="B206" s="47" t="s">
        <v>59</v>
      </c>
      <c r="C206" s="34">
        <f>SUM(C203:C205)</f>
        <v>1.5</v>
      </c>
      <c r="D206" s="34"/>
      <c r="E206" s="35">
        <f>SUM(E203:E205)</f>
        <v>7556.25</v>
      </c>
      <c r="F206" s="34">
        <f>SUM(F203:F205)</f>
        <v>0</v>
      </c>
      <c r="G206" s="35">
        <f t="shared" si="84"/>
        <v>7556.25</v>
      </c>
      <c r="H206" s="35"/>
      <c r="I206" s="35">
        <f>SUM(I204:I205)</f>
        <v>94.25</v>
      </c>
      <c r="J206" s="35"/>
      <c r="K206" s="35">
        <f>K203</f>
        <v>1744.5</v>
      </c>
      <c r="L206" s="35">
        <f>SUM(L203:L205)</f>
        <v>5940.5</v>
      </c>
      <c r="M206" s="35"/>
      <c r="N206" s="35"/>
      <c r="O206" s="35"/>
      <c r="P206" s="35">
        <f>P204+P205</f>
        <v>2258.75</v>
      </c>
      <c r="Q206" s="35"/>
      <c r="R206" s="35">
        <f>SUM(R203:R205)</f>
        <v>17594.25</v>
      </c>
      <c r="S206" s="36">
        <f>SUM(S203:S205)</f>
        <v>115159.75</v>
      </c>
    </row>
    <row r="207" spans="1:20" ht="24" customHeight="1" x14ac:dyDescent="0.25">
      <c r="A207" s="15"/>
      <c r="B207" s="55" t="s">
        <v>280</v>
      </c>
      <c r="C207" s="85"/>
      <c r="D207" s="85"/>
      <c r="E207" s="94"/>
      <c r="F207" s="85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110"/>
    </row>
    <row r="208" spans="1:20" x14ac:dyDescent="0.25">
      <c r="A208" s="20" t="s">
        <v>281</v>
      </c>
      <c r="B208" s="21" t="s">
        <v>130</v>
      </c>
      <c r="C208" s="22">
        <v>0.5</v>
      </c>
      <c r="D208" s="22">
        <v>8</v>
      </c>
      <c r="E208" s="23">
        <v>2620</v>
      </c>
      <c r="F208" s="22"/>
      <c r="G208" s="23">
        <f t="shared" ref="G208:G210" si="85">E208+F208</f>
        <v>2620</v>
      </c>
      <c r="H208" s="23"/>
      <c r="I208" s="23"/>
      <c r="J208" s="23"/>
      <c r="K208" s="23">
        <f>G208*0.3</f>
        <v>786</v>
      </c>
      <c r="L208" s="23">
        <f>R208-K208-G208</f>
        <v>3344</v>
      </c>
      <c r="M208" s="23"/>
      <c r="N208" s="23"/>
      <c r="O208" s="23"/>
      <c r="P208" s="23"/>
      <c r="Q208" s="23"/>
      <c r="R208" s="23">
        <v>6750</v>
      </c>
      <c r="S208" s="25">
        <f>R208*7</f>
        <v>47250</v>
      </c>
    </row>
    <row r="209" spans="1:20" s="38" customFormat="1" x14ac:dyDescent="0.25">
      <c r="A209" s="20" t="s">
        <v>282</v>
      </c>
      <c r="B209" s="21" t="s">
        <v>134</v>
      </c>
      <c r="C209" s="22">
        <v>0.5</v>
      </c>
      <c r="D209" s="22">
        <v>3</v>
      </c>
      <c r="E209" s="23">
        <v>1885</v>
      </c>
      <c r="F209" s="22"/>
      <c r="G209" s="23">
        <f t="shared" si="85"/>
        <v>1885</v>
      </c>
      <c r="H209" s="23"/>
      <c r="I209" s="23">
        <f>G209*0.1</f>
        <v>188.5</v>
      </c>
      <c r="J209" s="23"/>
      <c r="K209" s="23"/>
      <c r="L209" s="23"/>
      <c r="M209" s="23"/>
      <c r="N209" s="23"/>
      <c r="O209" s="23"/>
      <c r="P209" s="23">
        <f>8000/2-G209</f>
        <v>2115</v>
      </c>
      <c r="Q209" s="23"/>
      <c r="R209" s="23">
        <f>SUM(G209:Q209)</f>
        <v>4188.5</v>
      </c>
      <c r="S209" s="25">
        <f>R209*7</f>
        <v>29319.5</v>
      </c>
    </row>
    <row r="210" spans="1:20" s="27" customFormat="1" ht="25.8" customHeight="1" thickBot="1" x14ac:dyDescent="0.3">
      <c r="A210" s="64"/>
      <c r="B210" s="47" t="s">
        <v>59</v>
      </c>
      <c r="C210" s="34">
        <f>SUM(C208:C209)</f>
        <v>1</v>
      </c>
      <c r="D210" s="34"/>
      <c r="E210" s="35">
        <f>SUM(E208:E209)</f>
        <v>4505</v>
      </c>
      <c r="F210" s="34">
        <f>SUM(F208:F209)</f>
        <v>0</v>
      </c>
      <c r="G210" s="35">
        <f t="shared" si="85"/>
        <v>4505</v>
      </c>
      <c r="H210" s="35"/>
      <c r="I210" s="35">
        <f>SUM(I209)</f>
        <v>188.5</v>
      </c>
      <c r="J210" s="35"/>
      <c r="K210" s="35">
        <f>SUM(K208:K209)</f>
        <v>786</v>
      </c>
      <c r="L210" s="35">
        <f>SUM(L208:L209)</f>
        <v>3344</v>
      </c>
      <c r="M210" s="35"/>
      <c r="N210" s="35"/>
      <c r="O210" s="35"/>
      <c r="P210" s="35">
        <f>SUM(P209)</f>
        <v>2115</v>
      </c>
      <c r="Q210" s="35"/>
      <c r="R210" s="35">
        <f>SUM(R208:R209)</f>
        <v>10938.5</v>
      </c>
      <c r="S210" s="36">
        <f>SUM(S208:S209)</f>
        <v>76569.5</v>
      </c>
    </row>
    <row r="211" spans="1:20" ht="22.2" customHeight="1" x14ac:dyDescent="0.25">
      <c r="A211" s="15"/>
      <c r="B211" s="55" t="s">
        <v>283</v>
      </c>
      <c r="C211" s="85"/>
      <c r="D211" s="85"/>
      <c r="E211" s="94"/>
      <c r="F211" s="85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110"/>
    </row>
    <row r="212" spans="1:20" s="13" customFormat="1" x14ac:dyDescent="0.25">
      <c r="A212" s="20" t="s">
        <v>284</v>
      </c>
      <c r="B212" s="66" t="s">
        <v>130</v>
      </c>
      <c r="C212" s="22">
        <v>0.5</v>
      </c>
      <c r="D212" s="22">
        <v>10</v>
      </c>
      <c r="E212" s="23">
        <v>2907.5</v>
      </c>
      <c r="F212" s="22"/>
      <c r="G212" s="23">
        <f t="shared" ref="G212:G215" si="86">E212+F212</f>
        <v>2907.5</v>
      </c>
      <c r="H212" s="23"/>
      <c r="I212" s="23"/>
      <c r="J212" s="23"/>
      <c r="K212" s="23">
        <f>G212*0.3</f>
        <v>872.25</v>
      </c>
      <c r="L212" s="23">
        <f>13500/2-G212-K212</f>
        <v>2970.25</v>
      </c>
      <c r="M212" s="23"/>
      <c r="N212" s="23"/>
      <c r="O212" s="23"/>
      <c r="P212" s="23"/>
      <c r="Q212" s="23"/>
      <c r="R212" s="23">
        <f>G212+K212+L212</f>
        <v>6750</v>
      </c>
      <c r="S212" s="25">
        <f>R212*7</f>
        <v>47250</v>
      </c>
    </row>
    <row r="213" spans="1:20" x14ac:dyDescent="0.25">
      <c r="A213" s="20" t="s">
        <v>285</v>
      </c>
      <c r="B213" s="21" t="s">
        <v>134</v>
      </c>
      <c r="C213" s="22">
        <v>0.5</v>
      </c>
      <c r="D213" s="22">
        <v>3</v>
      </c>
      <c r="E213" s="23">
        <v>1885</v>
      </c>
      <c r="F213" s="22"/>
      <c r="G213" s="23">
        <f t="shared" si="86"/>
        <v>1885</v>
      </c>
      <c r="H213" s="23"/>
      <c r="I213" s="23">
        <f>G213*0.1</f>
        <v>188.5</v>
      </c>
      <c r="J213" s="23"/>
      <c r="K213" s="23"/>
      <c r="L213" s="23"/>
      <c r="M213" s="23"/>
      <c r="N213" s="23"/>
      <c r="O213" s="23"/>
      <c r="P213" s="23">
        <f>8000/2-G213</f>
        <v>2115</v>
      </c>
      <c r="Q213" s="23"/>
      <c r="R213" s="23">
        <f>SUM(G213:Q213)</f>
        <v>4188.5</v>
      </c>
      <c r="S213" s="25">
        <f>R213*7</f>
        <v>29319.5</v>
      </c>
    </row>
    <row r="214" spans="1:20" x14ac:dyDescent="0.25">
      <c r="A214" s="20" t="s">
        <v>286</v>
      </c>
      <c r="B214" s="21" t="s">
        <v>227</v>
      </c>
      <c r="C214" s="22">
        <v>1</v>
      </c>
      <c r="D214" s="22">
        <v>1</v>
      </c>
      <c r="E214" s="23">
        <v>3195</v>
      </c>
      <c r="F214" s="22"/>
      <c r="G214" s="23">
        <f t="shared" si="86"/>
        <v>3195</v>
      </c>
      <c r="H214" s="23"/>
      <c r="I214" s="23"/>
      <c r="J214" s="23"/>
      <c r="K214" s="23"/>
      <c r="L214" s="23"/>
      <c r="M214" s="23"/>
      <c r="N214" s="23"/>
      <c r="O214" s="23"/>
      <c r="P214" s="23">
        <f>8000-G214</f>
        <v>4805</v>
      </c>
      <c r="Q214" s="23"/>
      <c r="R214" s="23">
        <f>E214+P214</f>
        <v>8000</v>
      </c>
      <c r="S214" s="25">
        <f>R214*3</f>
        <v>24000</v>
      </c>
    </row>
    <row r="215" spans="1:20" s="49" customFormat="1" ht="26.4" customHeight="1" thickBot="1" x14ac:dyDescent="0.3">
      <c r="A215" s="118"/>
      <c r="B215" s="47" t="s">
        <v>59</v>
      </c>
      <c r="C215" s="34">
        <f>SUM(C212:C214)</f>
        <v>2</v>
      </c>
      <c r="D215" s="34"/>
      <c r="E215" s="35">
        <f>SUM(E212:E214)</f>
        <v>7987.5</v>
      </c>
      <c r="F215" s="34">
        <f>SUM(F212:F214)</f>
        <v>0</v>
      </c>
      <c r="G215" s="35">
        <f t="shared" si="86"/>
        <v>7987.5</v>
      </c>
      <c r="H215" s="35"/>
      <c r="I215" s="35">
        <f>SUM(I213:I214)</f>
        <v>188.5</v>
      </c>
      <c r="J215" s="35"/>
      <c r="K215" s="35">
        <f>SUM(K212:K214)</f>
        <v>872.25</v>
      </c>
      <c r="L215" s="35">
        <f>SUM(L212:L214)</f>
        <v>2970.25</v>
      </c>
      <c r="M215" s="35"/>
      <c r="N215" s="35"/>
      <c r="O215" s="35"/>
      <c r="P215" s="35">
        <f>P213+P214</f>
        <v>6920</v>
      </c>
      <c r="Q215" s="35"/>
      <c r="R215" s="35">
        <f>SUM(R212:R214)</f>
        <v>18938.5</v>
      </c>
      <c r="S215" s="36">
        <f>SUM(S212:S214)</f>
        <v>100569.5</v>
      </c>
    </row>
    <row r="216" spans="1:20" ht="21" customHeight="1" x14ac:dyDescent="0.25">
      <c r="A216" s="15"/>
      <c r="B216" s="55" t="s">
        <v>287</v>
      </c>
      <c r="C216" s="85"/>
      <c r="D216" s="85"/>
      <c r="E216" s="94"/>
      <c r="F216" s="85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110"/>
    </row>
    <row r="217" spans="1:20" x14ac:dyDescent="0.25">
      <c r="A217" s="20" t="s">
        <v>288</v>
      </c>
      <c r="B217" s="21" t="s">
        <v>220</v>
      </c>
      <c r="C217" s="22">
        <v>1</v>
      </c>
      <c r="D217" s="22">
        <v>10</v>
      </c>
      <c r="E217" s="23">
        <v>5815</v>
      </c>
      <c r="F217" s="22"/>
      <c r="G217" s="23">
        <f t="shared" ref="G217:G221" si="87">E217+F217</f>
        <v>5815</v>
      </c>
      <c r="H217" s="23"/>
      <c r="I217" s="23"/>
      <c r="J217" s="23"/>
      <c r="K217" s="23">
        <f>G217*0.3</f>
        <v>1744.5</v>
      </c>
      <c r="L217" s="23">
        <f>R217-K217-G217</f>
        <v>5940.5</v>
      </c>
      <c r="M217" s="23"/>
      <c r="N217" s="23"/>
      <c r="O217" s="23"/>
      <c r="P217" s="23"/>
      <c r="Q217" s="23"/>
      <c r="R217" s="23">
        <v>13500</v>
      </c>
      <c r="S217" s="25">
        <f>R217*7</f>
        <v>94500</v>
      </c>
    </row>
    <row r="218" spans="1:20" x14ac:dyDescent="0.25">
      <c r="A218" s="20" t="s">
        <v>289</v>
      </c>
      <c r="B218" s="21" t="s">
        <v>130</v>
      </c>
      <c r="C218" s="22">
        <v>1</v>
      </c>
      <c r="D218" s="22">
        <v>7</v>
      </c>
      <c r="E218" s="23">
        <v>4920</v>
      </c>
      <c r="F218" s="22"/>
      <c r="G218" s="23">
        <f t="shared" si="87"/>
        <v>4920</v>
      </c>
      <c r="H218" s="23"/>
      <c r="I218" s="23">
        <f>G218*0.1</f>
        <v>492</v>
      </c>
      <c r="J218" s="23"/>
      <c r="K218" s="23">
        <f>G218*0.3</f>
        <v>1476</v>
      </c>
      <c r="L218" s="23">
        <f>13500-G218-I218-K218</f>
        <v>6612</v>
      </c>
      <c r="M218" s="23"/>
      <c r="N218" s="23"/>
      <c r="O218" s="23"/>
      <c r="P218" s="23"/>
      <c r="Q218" s="23"/>
      <c r="R218" s="23">
        <f>G218+I218+K218+L218</f>
        <v>13500</v>
      </c>
      <c r="S218" s="25">
        <f t="shared" ref="S218:S219" si="88">R218*7</f>
        <v>94500</v>
      </c>
    </row>
    <row r="219" spans="1:20" x14ac:dyDescent="0.25">
      <c r="A219" s="20" t="s">
        <v>290</v>
      </c>
      <c r="B219" s="21" t="s">
        <v>134</v>
      </c>
      <c r="C219" s="22">
        <v>1</v>
      </c>
      <c r="D219" s="22">
        <v>3</v>
      </c>
      <c r="E219" s="23">
        <v>3770</v>
      </c>
      <c r="F219" s="22"/>
      <c r="G219" s="23">
        <f t="shared" si="87"/>
        <v>3770</v>
      </c>
      <c r="H219" s="23"/>
      <c r="I219" s="23">
        <f>G219*0.1</f>
        <v>377</v>
      </c>
      <c r="J219" s="23"/>
      <c r="K219" s="23"/>
      <c r="L219" s="23"/>
      <c r="M219" s="23"/>
      <c r="N219" s="23"/>
      <c r="O219" s="23"/>
      <c r="P219" s="23">
        <f>8000-G219</f>
        <v>4230</v>
      </c>
      <c r="Q219" s="23"/>
      <c r="R219" s="23">
        <f>SUM(G219:Q219)</f>
        <v>8377</v>
      </c>
      <c r="S219" s="25">
        <f t="shared" si="88"/>
        <v>58639</v>
      </c>
    </row>
    <row r="220" spans="1:20" x14ac:dyDescent="0.25">
      <c r="A220" s="20" t="s">
        <v>291</v>
      </c>
      <c r="B220" s="21" t="s">
        <v>227</v>
      </c>
      <c r="C220" s="22">
        <v>1.5</v>
      </c>
      <c r="D220" s="22">
        <v>1</v>
      </c>
      <c r="E220" s="23">
        <f>3195*C220</f>
        <v>4792.5</v>
      </c>
      <c r="F220" s="22"/>
      <c r="G220" s="23">
        <f t="shared" si="87"/>
        <v>4792.5</v>
      </c>
      <c r="H220" s="23"/>
      <c r="I220" s="23"/>
      <c r="J220" s="23"/>
      <c r="K220" s="23"/>
      <c r="L220" s="23"/>
      <c r="M220" s="23"/>
      <c r="N220" s="23"/>
      <c r="O220" s="23"/>
      <c r="P220" s="23">
        <f>8000*C220-G220</f>
        <v>7207.5</v>
      </c>
      <c r="Q220" s="23"/>
      <c r="R220" s="23">
        <f>E220+P220</f>
        <v>12000</v>
      </c>
      <c r="S220" s="25">
        <f>R220*3</f>
        <v>36000</v>
      </c>
    </row>
    <row r="221" spans="1:20" s="27" customFormat="1" ht="26.4" customHeight="1" thickBot="1" x14ac:dyDescent="0.3">
      <c r="A221" s="64"/>
      <c r="B221" s="47" t="s">
        <v>59</v>
      </c>
      <c r="C221" s="34">
        <f>SUM(C217:C220)</f>
        <v>4.5</v>
      </c>
      <c r="D221" s="34"/>
      <c r="E221" s="35">
        <f>SUM(E217:E220)</f>
        <v>19297.5</v>
      </c>
      <c r="F221" s="34">
        <f>SUM(F217:F220)</f>
        <v>0</v>
      </c>
      <c r="G221" s="35">
        <f t="shared" si="87"/>
        <v>19297.5</v>
      </c>
      <c r="H221" s="35"/>
      <c r="I221" s="35">
        <f>SUM(I218:I220)</f>
        <v>869</v>
      </c>
      <c r="J221" s="35"/>
      <c r="K221" s="35">
        <f>K217+K218</f>
        <v>3220.5</v>
      </c>
      <c r="L221" s="35">
        <f>L217+L218</f>
        <v>12552.5</v>
      </c>
      <c r="M221" s="35"/>
      <c r="N221" s="35"/>
      <c r="O221" s="35"/>
      <c r="P221" s="35">
        <f>SUM(P217:P220)</f>
        <v>11437.5</v>
      </c>
      <c r="Q221" s="35"/>
      <c r="R221" s="35">
        <f>SUM(R217:R220)</f>
        <v>47377</v>
      </c>
      <c r="S221" s="36">
        <f>SUM(S217:S220)</f>
        <v>283639</v>
      </c>
    </row>
    <row r="222" spans="1:20" s="13" customFormat="1" ht="22.2" customHeight="1" x14ac:dyDescent="0.2">
      <c r="A222" s="18"/>
      <c r="B222" s="55" t="s">
        <v>292</v>
      </c>
      <c r="C222" s="85"/>
      <c r="D222" s="85"/>
      <c r="E222" s="94"/>
      <c r="F222" s="85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110"/>
    </row>
    <row r="223" spans="1:20" x14ac:dyDescent="0.25">
      <c r="A223" s="20" t="s">
        <v>293</v>
      </c>
      <c r="B223" s="21" t="s">
        <v>220</v>
      </c>
      <c r="C223" s="22">
        <v>1</v>
      </c>
      <c r="D223" s="22">
        <v>10</v>
      </c>
      <c r="E223" s="23">
        <v>5815</v>
      </c>
      <c r="F223" s="22"/>
      <c r="G223" s="23">
        <f t="shared" ref="G223:G225" si="89">E223+F223</f>
        <v>5815</v>
      </c>
      <c r="H223" s="23"/>
      <c r="I223" s="23"/>
      <c r="J223" s="23"/>
      <c r="K223" s="23">
        <f>G223*0.3</f>
        <v>1744.5</v>
      </c>
      <c r="L223" s="23">
        <f>R223-K223-G223</f>
        <v>5940.5</v>
      </c>
      <c r="M223" s="23"/>
      <c r="N223" s="23"/>
      <c r="O223" s="23"/>
      <c r="P223" s="23"/>
      <c r="Q223" s="23"/>
      <c r="R223" s="23">
        <v>13500</v>
      </c>
      <c r="S223" s="25">
        <f>R223*7</f>
        <v>94500</v>
      </c>
    </row>
    <row r="224" spans="1:20" s="38" customFormat="1" x14ac:dyDescent="0.25">
      <c r="A224" s="20" t="s">
        <v>294</v>
      </c>
      <c r="B224" s="21" t="s">
        <v>134</v>
      </c>
      <c r="C224" s="22">
        <v>0.5</v>
      </c>
      <c r="D224" s="22">
        <v>3</v>
      </c>
      <c r="E224" s="23">
        <v>1885</v>
      </c>
      <c r="F224" s="22"/>
      <c r="G224" s="23">
        <f t="shared" si="89"/>
        <v>1885</v>
      </c>
      <c r="H224" s="23"/>
      <c r="I224" s="23">
        <f>G224*0.1</f>
        <v>188.5</v>
      </c>
      <c r="J224" s="23"/>
      <c r="K224" s="23"/>
      <c r="L224" s="23"/>
      <c r="M224" s="23"/>
      <c r="N224" s="23"/>
      <c r="O224" s="23"/>
      <c r="P224" s="23">
        <f>8000/2-G224</f>
        <v>2115</v>
      </c>
      <c r="Q224" s="23"/>
      <c r="R224" s="23">
        <f>SUM(G224:Q224)</f>
        <v>4188.5</v>
      </c>
      <c r="S224" s="25">
        <f>R224*7</f>
        <v>29319.5</v>
      </c>
      <c r="T224" s="46"/>
    </row>
    <row r="225" spans="1:19" s="27" customFormat="1" ht="27.6" customHeight="1" thickBot="1" x14ac:dyDescent="0.3">
      <c r="A225" s="64"/>
      <c r="B225" s="47" t="s">
        <v>59</v>
      </c>
      <c r="C225" s="34">
        <f>SUM(C223:C224)</f>
        <v>1.5</v>
      </c>
      <c r="D225" s="34"/>
      <c r="E225" s="35">
        <f>SUM(E223:E224)</f>
        <v>7700</v>
      </c>
      <c r="F225" s="34">
        <f>SUM(F223:F224)</f>
        <v>0</v>
      </c>
      <c r="G225" s="35">
        <f t="shared" si="89"/>
        <v>7700</v>
      </c>
      <c r="H225" s="35"/>
      <c r="I225" s="35">
        <f>SUM(I224)</f>
        <v>188.5</v>
      </c>
      <c r="J225" s="35"/>
      <c r="K225" s="35">
        <f>SUM(K223:K224)</f>
        <v>1744.5</v>
      </c>
      <c r="L225" s="35">
        <f>SUM(L223:L224)</f>
        <v>5940.5</v>
      </c>
      <c r="M225" s="35"/>
      <c r="N225" s="35"/>
      <c r="O225" s="35"/>
      <c r="P225" s="35">
        <f>SUM(P224)</f>
        <v>2115</v>
      </c>
      <c r="Q225" s="35"/>
      <c r="R225" s="35">
        <f>SUM(R223:R224)</f>
        <v>17688.5</v>
      </c>
      <c r="S225" s="36">
        <f>SUM(S223:S224)</f>
        <v>123819.5</v>
      </c>
    </row>
    <row r="226" spans="1:19" ht="22.2" customHeight="1" x14ac:dyDescent="0.25">
      <c r="A226" s="15"/>
      <c r="B226" s="55" t="s">
        <v>295</v>
      </c>
      <c r="C226" s="85"/>
      <c r="D226" s="85"/>
      <c r="E226" s="94"/>
      <c r="F226" s="85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110"/>
    </row>
    <row r="227" spans="1:19" x14ac:dyDescent="0.25">
      <c r="A227" s="20" t="s">
        <v>296</v>
      </c>
      <c r="B227" s="21" t="s">
        <v>130</v>
      </c>
      <c r="C227" s="22">
        <v>0.5</v>
      </c>
      <c r="D227" s="22">
        <v>10</v>
      </c>
      <c r="E227" s="23">
        <v>2907.5</v>
      </c>
      <c r="F227" s="22"/>
      <c r="G227" s="23">
        <f t="shared" ref="G227:G228" si="90">E227+F227</f>
        <v>2907.5</v>
      </c>
      <c r="H227" s="23"/>
      <c r="I227" s="23"/>
      <c r="J227" s="23"/>
      <c r="K227" s="23">
        <f>G227*0.3</f>
        <v>872.25</v>
      </c>
      <c r="L227" s="23">
        <f>13500/2-G227-K227</f>
        <v>2970.25</v>
      </c>
      <c r="M227" s="23"/>
      <c r="N227" s="23"/>
      <c r="O227" s="23"/>
      <c r="P227" s="23"/>
      <c r="Q227" s="23"/>
      <c r="R227" s="23">
        <f>G227+K227+L227</f>
        <v>6750</v>
      </c>
      <c r="S227" s="25">
        <f>R227*7</f>
        <v>47250</v>
      </c>
    </row>
    <row r="228" spans="1:19" s="27" customFormat="1" ht="25.8" customHeight="1" thickBot="1" x14ac:dyDescent="0.3">
      <c r="A228" s="64"/>
      <c r="B228" s="47" t="s">
        <v>59</v>
      </c>
      <c r="C228" s="34">
        <f>SUM(C227:C227)</f>
        <v>0.5</v>
      </c>
      <c r="D228" s="34"/>
      <c r="E228" s="35">
        <f>SUM(E227:E227)</f>
        <v>2907.5</v>
      </c>
      <c r="F228" s="34">
        <f>SUM(F227:F227)</f>
        <v>0</v>
      </c>
      <c r="G228" s="35">
        <f t="shared" si="90"/>
        <v>2907.5</v>
      </c>
      <c r="H228" s="35"/>
      <c r="I228" s="35">
        <v>0</v>
      </c>
      <c r="J228" s="35"/>
      <c r="K228" s="35">
        <f>SUM(K227:K227)</f>
        <v>872.25</v>
      </c>
      <c r="L228" s="35">
        <f>SUM(L227:L227)</f>
        <v>2970.25</v>
      </c>
      <c r="M228" s="35"/>
      <c r="N228" s="35"/>
      <c r="O228" s="35"/>
      <c r="P228" s="35">
        <v>0</v>
      </c>
      <c r="Q228" s="35"/>
      <c r="R228" s="35">
        <f>SUM(R227:R227)</f>
        <v>6750</v>
      </c>
      <c r="S228" s="36">
        <f>SUM(S227:S227)</f>
        <v>47250</v>
      </c>
    </row>
    <row r="229" spans="1:19" ht="18.600000000000001" customHeight="1" x14ac:dyDescent="0.25">
      <c r="A229" s="15"/>
      <c r="B229" s="55" t="s">
        <v>298</v>
      </c>
      <c r="C229" s="85"/>
      <c r="D229" s="85"/>
      <c r="E229" s="94"/>
      <c r="F229" s="85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110"/>
    </row>
    <row r="230" spans="1:19" x14ac:dyDescent="0.25">
      <c r="A230" s="20" t="s">
        <v>299</v>
      </c>
      <c r="B230" s="21" t="s">
        <v>130</v>
      </c>
      <c r="C230" s="22">
        <v>0.5</v>
      </c>
      <c r="D230" s="22">
        <v>10</v>
      </c>
      <c r="E230" s="23">
        <v>2907.5</v>
      </c>
      <c r="F230" s="22"/>
      <c r="G230" s="23">
        <f t="shared" ref="G230:G232" si="91">E230+F230</f>
        <v>2907.5</v>
      </c>
      <c r="H230" s="23"/>
      <c r="I230" s="23"/>
      <c r="J230" s="23"/>
      <c r="K230" s="23">
        <f>G230*0.3</f>
        <v>872.25</v>
      </c>
      <c r="L230" s="23">
        <f>13500/2-G230-K230</f>
        <v>2970.25</v>
      </c>
      <c r="M230" s="23"/>
      <c r="N230" s="23"/>
      <c r="O230" s="23"/>
      <c r="P230" s="23"/>
      <c r="Q230" s="23"/>
      <c r="R230" s="23">
        <f>G230+K230+L230</f>
        <v>6750</v>
      </c>
      <c r="S230" s="25">
        <f>R230*7</f>
        <v>47250</v>
      </c>
    </row>
    <row r="231" spans="1:19" s="38" customFormat="1" x14ac:dyDescent="0.25">
      <c r="A231" s="20" t="s">
        <v>300</v>
      </c>
      <c r="B231" s="21" t="s">
        <v>134</v>
      </c>
      <c r="C231" s="22">
        <v>0.25</v>
      </c>
      <c r="D231" s="22">
        <v>3</v>
      </c>
      <c r="E231" s="23">
        <v>942.5</v>
      </c>
      <c r="F231" s="22"/>
      <c r="G231" s="23">
        <f t="shared" si="91"/>
        <v>942.5</v>
      </c>
      <c r="H231" s="23"/>
      <c r="I231" s="23">
        <f>G231*0.1</f>
        <v>94.25</v>
      </c>
      <c r="J231" s="23"/>
      <c r="K231" s="23"/>
      <c r="L231" s="23"/>
      <c r="M231" s="23"/>
      <c r="N231" s="23"/>
      <c r="O231" s="23"/>
      <c r="P231" s="23">
        <f>8000*0.25-G231</f>
        <v>1057.5</v>
      </c>
      <c r="Q231" s="23"/>
      <c r="R231" s="23">
        <f>E231+I231+P231</f>
        <v>2094.25</v>
      </c>
      <c r="S231" s="25">
        <f>R231*7</f>
        <v>14659.75</v>
      </c>
    </row>
    <row r="232" spans="1:19" s="27" customFormat="1" ht="27" customHeight="1" thickBot="1" x14ac:dyDescent="0.3">
      <c r="A232" s="64"/>
      <c r="B232" s="47" t="s">
        <v>59</v>
      </c>
      <c r="C232" s="34">
        <f>SUM(C230:C231)</f>
        <v>0.75</v>
      </c>
      <c r="D232" s="34"/>
      <c r="E232" s="35">
        <f>SUM(E230:E231)</f>
        <v>3850</v>
      </c>
      <c r="F232" s="34">
        <f>SUM(F230:F231)</f>
        <v>0</v>
      </c>
      <c r="G232" s="35">
        <f t="shared" si="91"/>
        <v>3850</v>
      </c>
      <c r="H232" s="35"/>
      <c r="I232" s="35">
        <f>SUM(I231)</f>
        <v>94.25</v>
      </c>
      <c r="J232" s="35"/>
      <c r="K232" s="35">
        <f>SUM(K230:K231)</f>
        <v>872.25</v>
      </c>
      <c r="L232" s="35">
        <f>SUM(L230:L231)</f>
        <v>2970.25</v>
      </c>
      <c r="M232" s="35"/>
      <c r="N232" s="35"/>
      <c r="O232" s="35"/>
      <c r="P232" s="35">
        <f>SUM(P231)</f>
        <v>1057.5</v>
      </c>
      <c r="Q232" s="35"/>
      <c r="R232" s="35">
        <f>SUM(R230:R231)</f>
        <v>8844.25</v>
      </c>
      <c r="S232" s="36">
        <f>SUM(S230:S231)</f>
        <v>61909.75</v>
      </c>
    </row>
    <row r="233" spans="1:19" s="49" customFormat="1" ht="23.25" customHeight="1" thickBot="1" x14ac:dyDescent="0.3">
      <c r="A233" s="67"/>
      <c r="B233" s="119" t="s">
        <v>301</v>
      </c>
      <c r="C233" s="120">
        <f>C27+C38+C46+C41+C54+C60+C81+C127+C111+C117+C140+C151+C157+C164+C171+C180+C185+C225+C221+C215+C201+C206+C228+C232+C191+C210+C196+C144+C121</f>
        <v>190.5</v>
      </c>
      <c r="D233" s="121"/>
      <c r="E233" s="120">
        <f t="shared" ref="E233:S233" si="92">E27+E38+E46+E41+E54+E60+E81+E127+E111+E117+E140+E151+E157+E164+E171+E180+E185+E221+E225+E215+E201+E206+E228+E191+E210+E196+E144+E232+E121</f>
        <v>1089234.5</v>
      </c>
      <c r="F233" s="120">
        <f t="shared" si="92"/>
        <v>29965.512499999997</v>
      </c>
      <c r="G233" s="120">
        <f t="shared" si="92"/>
        <v>1119200.0125000002</v>
      </c>
      <c r="H233" s="120">
        <f t="shared" si="92"/>
        <v>23683.75</v>
      </c>
      <c r="I233" s="120">
        <f t="shared" si="92"/>
        <v>26865.276249999999</v>
      </c>
      <c r="J233" s="120">
        <f t="shared" si="92"/>
        <v>491.82400000000001</v>
      </c>
      <c r="K233" s="120">
        <f t="shared" si="92"/>
        <v>220659.43874999994</v>
      </c>
      <c r="L233" s="120">
        <f t="shared" si="92"/>
        <v>900329.73749999993</v>
      </c>
      <c r="M233" s="120">
        <f t="shared" si="92"/>
        <v>3750</v>
      </c>
      <c r="N233" s="120">
        <f t="shared" si="92"/>
        <v>24538.915000000001</v>
      </c>
      <c r="O233" s="120">
        <f t="shared" si="92"/>
        <v>141900.25</v>
      </c>
      <c r="P233" s="120">
        <f t="shared" si="92"/>
        <v>245812</v>
      </c>
      <c r="Q233" s="120">
        <f t="shared" si="92"/>
        <v>0</v>
      </c>
      <c r="R233" s="120">
        <f t="shared" si="92"/>
        <v>2706996.9039999996</v>
      </c>
      <c r="S233" s="120">
        <f t="shared" si="92"/>
        <v>18772978.327999998</v>
      </c>
    </row>
    <row r="234" spans="1:19" ht="12.6" thickBot="1" x14ac:dyDescent="0.3">
      <c r="F234" s="13"/>
      <c r="I234" s="68"/>
    </row>
    <row r="235" spans="1:19" ht="15.6" customHeight="1" x14ac:dyDescent="0.25">
      <c r="B235" s="69" t="s">
        <v>302</v>
      </c>
      <c r="C235" s="70">
        <f>C48+C49+C56+C57+C58+C63+C64+C65+C66+C67+C68+C123+C124+C83+C84+C85+C86+C87+C88+C89+C100+C94+C90+C95+C91+C74+C98+C96+C93+C92+C101+C99+C102+C113+C114+C133+C129+C134+C135+C146+C153+C159+C166+C173+C174+C175+C182+C141+C69+C70+C71+C72+C73+C119+C120+C97</f>
        <v>49.75</v>
      </c>
      <c r="D235" s="70"/>
      <c r="E235" s="70">
        <f>E48+E49+E56+E57+E58+E63+E64+E65+E66+E67+E68+E123+E124+E83+E84+E85+E86+E87+E88+E89+E100+E94+E90+E95+E91+E74+E98+E96+E93+E92+E101+E99+E102+E113+E114+E133+E129+E134+E135+E146+E153+E159+E166+E173+E174+E175+E182+E141+E69+E70+E71+E72+E73+E119+E120+E97</f>
        <v>345906</v>
      </c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>
        <f t="shared" ref="Q235" si="93">Q48+Q49+Q56+Q57+Q58+Q63+Q64+Q65+Q66+Q67+Q68+Q123+Q124+Q83+Q84+Q85+Q86+Q87+Q88+Q89+Q100+Q94+Q90+Q95+Q91+Q74+Q98+Q96+Q93+Q92+Q101+Q99+Q102+Q113+Q114+Q133+Q129+Q134+Q135+Q146+Q153+Q159+Q166+Q173+Q174+Q175+Q182+Q141+Q69+Q70+Q71+Q72+Q73+Q119+Q120</f>
        <v>0</v>
      </c>
      <c r="R235" s="70">
        <f>R48+R49+R56+R57+R58+R63+R64+R65+R66+R67+R68+R123+R124+R83+R84+R85+R86+R87+R88+R89+R100+R94+R90+R95+R91+R74+R98+R96+R93+R92+R101+R99+R102+R113+R114+R133+R129+R134+R135+R146+R153+R159+R166+R173+R174+R175+R182+R141+R69+R70+R71+R72+R73+R119+R120+R97</f>
        <v>990000</v>
      </c>
      <c r="S235" s="70">
        <f>S48+S49+S56+S57+S58+S63+S64+S65+S66+S67+S68+S123+S124+S83+S84+S85+S86+S87+S88+S89+S100+S94+S90+S95+S91+S74+S98+S96+S93+S92+S101+S99+S102+S113+S114+S133+S129+S134+S135+S146+S153+S159+S166+S173+S174+S175+S182+S141+S69+S70+S71+S72+S73+S119+S120+S97</f>
        <v>6930000</v>
      </c>
    </row>
    <row r="236" spans="1:19" ht="15.6" customHeight="1" x14ac:dyDescent="0.25">
      <c r="B236" s="71" t="s">
        <v>303</v>
      </c>
      <c r="C236" s="72">
        <f>C17+C50+C53+C75+C76+C77+C125+C103+C106+C107+C104+C105+C108+C115+C130+C136+C137+C138+C147+C154+C155+C160+C161+C167+C168+C176+C177+C183+C218+C217+C223+C212+C198+C203+C227+C188+C208+C193+C142+C230</f>
        <v>69</v>
      </c>
      <c r="D236" s="72"/>
      <c r="E236" s="123">
        <f>E17+E50+E53+E75+E76+E77+E125+E103+E106+E107+E104+E105+E108+E115+E130+E136+E137+E138+E147+E154+E155+E160+E161+E167+E168+E176+E177+E183+E218+E217+E223+E212+E198+E203+E227+E188+E208+E193+E142+E230</f>
        <v>387530</v>
      </c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>
        <f>Q17+Q50+Q53+Q75+Q76+Q77+Q125+Q103+Q106+Q107+Q104+Q105+Q108+Q115+Q130+Q136+Q137+Q138+Q147+Q154+Q155+Q160+Q161+Q167+Q168+Q176+Q177+Q183+Q218+Q217+Q223+Q212+Q198+Q203+Q227+Q188+Q208+Q193+Q142+Q230</f>
        <v>0</v>
      </c>
      <c r="R236" s="72">
        <f>R17+R50+R53+R75+R76+R77+R125+R103+R106+R107+R104+R105+R108+R115+R130+R136+R137+R138+R147+R154+R155+R160+R161+R167+R168+R176+R177+R183+R218+R217+R223+R212+R198+R203+R227+R188+R208+R193+R142+R230</f>
        <v>940097</v>
      </c>
      <c r="S236" s="89">
        <f>S17+S50+S53+S75+S76+S77+S125+S103+S106+S107+S104+S105+S108+S115+S130+S136+S137+S138+S147+S154+S155+S160+S161+S167+S168+S176+S177+S183+S218+S217+S223+S212+S198+S203+S227+S188+S208+S193+S142+S230</f>
        <v>6580679</v>
      </c>
    </row>
    <row r="237" spans="1:19" ht="15.6" customHeight="1" x14ac:dyDescent="0.25">
      <c r="B237" s="71" t="s">
        <v>304</v>
      </c>
      <c r="C237" s="72">
        <f>C78+C79+C126+C110+C116+C139+C148+C156+C162+C169+C178+C184+C219+C224+C213+C199+C204+C189+C209+C194+C231</f>
        <v>26.75</v>
      </c>
      <c r="D237" s="72"/>
      <c r="E237" s="123">
        <f>E78+E79+E126+E110+E116+E139+E148+E156+E162+E169+E178+E184+E219+E224+E213+E199+E204+E189+E209+E194+E231</f>
        <v>103295.5</v>
      </c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 t="e">
        <f>Q78+Q79+Q126+Q110+Q116+Q139+Q148+Q156+Q162+Q169+Q178+Q184+Q219+Q224+Q213+Q199+Q204+#REF!+Q189+Q209+Q194+Q231</f>
        <v>#REF!</v>
      </c>
      <c r="R237" s="123">
        <f>R78+R79+R126+R110+R116+R139+R148+R156+R162+R169+R178+R184+R219+R224+R213+R199+R204+R189+R209+R194+R231</f>
        <v>230288.83</v>
      </c>
      <c r="S237" s="124">
        <f>S78+S79+S126+S110+S116+S139+S148+S156+S162+S169+S178+S184+S219+S224+S213+S199+S204+S189+S209+S194+S231</f>
        <v>1612021.81</v>
      </c>
    </row>
    <row r="238" spans="1:19" ht="15.6" customHeight="1" x14ac:dyDescent="0.25">
      <c r="B238" s="71" t="s">
        <v>305</v>
      </c>
      <c r="C238" s="72">
        <f>C14+C15+C16+C18+C19+C20+C21+C22+C23+C24+C25+C26+C29+C31+C32+C33+C35+C36+C37+C43+C44+C45+C40+C51+C52+C59+C80+C109+C149+C150+C163+C170+C179+C220+C214+C200+C205+C190+C195+C143+C34+C30</f>
        <v>45</v>
      </c>
      <c r="D238" s="72"/>
      <c r="E238" s="123">
        <f>E14+E15+E16+E18+E19+E20+E21+E22+E23+E24+E25+E26+E29+E31+E32+E33+E35+E36+E37+E43+E44+E45+E40+E51+E52+E59+E80+E109+E149+E150+E163+E170+E179+E220+E214+E200+E205+E190+E195+E143+E34+E30</f>
        <v>252503</v>
      </c>
      <c r="F238" s="72"/>
      <c r="G238" s="72"/>
      <c r="H238" s="72" t="s">
        <v>8</v>
      </c>
      <c r="I238" s="72"/>
      <c r="J238" s="72"/>
      <c r="K238" s="72"/>
      <c r="L238" s="72"/>
      <c r="M238" s="72"/>
      <c r="N238" s="72"/>
      <c r="O238" s="72"/>
      <c r="P238" s="72"/>
      <c r="Q238" s="72">
        <f>Q14+Q15+Q16+Q18+Q19+Q20+Q21+Q22+Q23+Q24+Q25+Q26+Q29+Q31+Q32+Q33+Q35+Q36+Q37+Q43+Q44+Q45+Q40+Q51+Q52+Q59+Q80+Q109+Q149+Q150+Q163+Q170+Q179+Q220+Q214+Q200+Q205+Q190+Q195+Q143+Q34</f>
        <v>0</v>
      </c>
      <c r="R238" s="123">
        <f>R14+R15+R16+R18+R19+R20+R21+R22+R23+R24+R25+R26+R29+R31+R32+R33+R35+R36+R37+R43+R44+R45+R40+R51+R52+R59+R80+R109+R149+R150+R163+R170+R179+R220+R214+R200+R205+R190+R195+R143+R34+R30</f>
        <v>546611.07400000002</v>
      </c>
      <c r="S238" s="123">
        <f>S14+S15+S16+S18+S19+S20+S21+S22+S23+S24+S25+S26+S29+S31+S32+S33+S35+S36+S37+S43+S44+S45+S40+S51+S52+S59+S80+S109+S149+S150+S163+S170+S179+S220+S214+S200+S205+S190+S195+S143+S34+S30</f>
        <v>3650277.5179999997</v>
      </c>
    </row>
    <row r="239" spans="1:19" ht="12.6" thickBot="1" x14ac:dyDescent="0.3">
      <c r="B239" s="73" t="s">
        <v>306</v>
      </c>
      <c r="C239" s="74">
        <f>SUBTOTAL(9,C235:C238)</f>
        <v>190.5</v>
      </c>
      <c r="D239" s="74"/>
      <c r="E239" s="75">
        <f>SUBTOTAL(9,E235:E238)</f>
        <v>1089234.5</v>
      </c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 t="e">
        <f t="shared" ref="Q239:S239" si="94">SUBTOTAL(9,Q235:Q238)</f>
        <v>#REF!</v>
      </c>
      <c r="R239" s="75">
        <f>R235+R236+R237+R238</f>
        <v>2706996.9040000001</v>
      </c>
      <c r="S239" s="76">
        <f t="shared" si="94"/>
        <v>18772978.328000002</v>
      </c>
    </row>
    <row r="240" spans="1:19" ht="19.95" customHeight="1" x14ac:dyDescent="0.25">
      <c r="R240" s="53"/>
    </row>
    <row r="241" spans="2:10" ht="19.2" customHeight="1" x14ac:dyDescent="0.3">
      <c r="B241" s="77" t="s">
        <v>307</v>
      </c>
      <c r="C241" s="78"/>
      <c r="D241" s="78"/>
      <c r="E241" s="79">
        <f>E239</f>
        <v>1089234.5</v>
      </c>
      <c r="G241" s="80"/>
      <c r="H241" s="81"/>
      <c r="I241" s="82"/>
    </row>
    <row r="242" spans="2:10" x14ac:dyDescent="0.25">
      <c r="B242" s="77" t="s">
        <v>308</v>
      </c>
      <c r="E242" s="52">
        <f>S233+E241</f>
        <v>19862212.827999998</v>
      </c>
    </row>
    <row r="244" spans="2:10" ht="15.6" x14ac:dyDescent="0.3">
      <c r="C244" s="83"/>
      <c r="D244" s="83"/>
      <c r="E244" s="83"/>
      <c r="F244" s="83"/>
      <c r="G244" s="83"/>
      <c r="H244" s="83"/>
      <c r="I244" s="83"/>
      <c r="J244" s="83"/>
    </row>
    <row r="245" spans="2:10" ht="15.6" x14ac:dyDescent="0.3">
      <c r="C245" s="83" t="s">
        <v>3</v>
      </c>
      <c r="D245" s="83"/>
      <c r="E245" s="83"/>
      <c r="F245" s="83"/>
      <c r="G245" s="83"/>
      <c r="H245" s="83" t="s">
        <v>309</v>
      </c>
      <c r="I245" s="83"/>
      <c r="J245" s="83"/>
    </row>
    <row r="246" spans="2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2:10" ht="15.6" x14ac:dyDescent="0.3">
      <c r="C247" s="83"/>
      <c r="D247" s="83"/>
      <c r="E247" s="83"/>
      <c r="F247" s="83"/>
      <c r="G247" s="83"/>
      <c r="H247" s="83"/>
      <c r="I247" s="83"/>
      <c r="J247" s="83"/>
    </row>
    <row r="248" spans="2:10" ht="15.6" x14ac:dyDescent="0.3">
      <c r="C248" s="143" t="s">
        <v>39</v>
      </c>
      <c r="D248" s="143"/>
      <c r="E248" s="143"/>
      <c r="F248" s="83"/>
      <c r="G248" s="83"/>
      <c r="H248" s="83" t="s">
        <v>311</v>
      </c>
      <c r="I248" s="83"/>
      <c r="J248" s="83"/>
    </row>
    <row r="249" spans="2:10" ht="15.6" x14ac:dyDescent="0.3">
      <c r="C249" s="83"/>
      <c r="D249" s="84"/>
      <c r="E249" s="84"/>
      <c r="F249" s="83"/>
      <c r="G249" s="83"/>
      <c r="H249" s="83"/>
      <c r="I249" s="83"/>
      <c r="J249" s="83"/>
    </row>
    <row r="250" spans="2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2:10" ht="15.6" x14ac:dyDescent="0.3">
      <c r="C251" s="83" t="s">
        <v>46</v>
      </c>
      <c r="D251" s="83"/>
      <c r="E251" s="83"/>
      <c r="F251" s="83"/>
      <c r="G251" s="83"/>
      <c r="H251" s="83" t="s">
        <v>331</v>
      </c>
      <c r="I251" s="83"/>
      <c r="J251" s="83"/>
    </row>
    <row r="252" spans="2:10" ht="15.6" x14ac:dyDescent="0.3">
      <c r="C252" s="83"/>
      <c r="D252" s="83"/>
      <c r="E252" s="83"/>
      <c r="F252" s="83"/>
      <c r="G252" s="83"/>
      <c r="H252" s="83"/>
      <c r="I252" s="83"/>
      <c r="J252" s="83"/>
    </row>
    <row r="253" spans="2:10" ht="15.6" x14ac:dyDescent="0.3">
      <c r="C253" s="83"/>
      <c r="D253" s="83"/>
      <c r="E253" s="83"/>
      <c r="F253" s="83"/>
      <c r="G253" s="83"/>
      <c r="H253" s="83"/>
      <c r="I253" s="83"/>
      <c r="J253" s="83"/>
    </row>
    <row r="254" spans="2:10" ht="15.6" x14ac:dyDescent="0.3">
      <c r="C254" s="143"/>
      <c r="D254" s="144"/>
      <c r="E254" s="144"/>
      <c r="F254" s="83"/>
      <c r="G254" s="83"/>
      <c r="H254" s="83"/>
      <c r="I254" s="83"/>
      <c r="J254" s="83"/>
    </row>
    <row r="255" spans="2:10" ht="15.6" x14ac:dyDescent="0.3">
      <c r="C255" s="83"/>
      <c r="D255" s="84"/>
      <c r="E255" s="84"/>
      <c r="F255" s="83"/>
      <c r="G255" s="83"/>
      <c r="H255" s="83"/>
      <c r="I255" s="83"/>
      <c r="J255" s="83"/>
    </row>
    <row r="256" spans="2:10" ht="15.6" x14ac:dyDescent="0.3">
      <c r="C256" s="83"/>
      <c r="D256" s="83"/>
      <c r="E256" s="83"/>
      <c r="F256" s="83"/>
      <c r="G256" s="83"/>
      <c r="H256" s="83"/>
      <c r="I256" s="83"/>
      <c r="J256" s="83"/>
    </row>
    <row r="257" spans="3:10" ht="15.6" x14ac:dyDescent="0.3">
      <c r="C257" s="83"/>
      <c r="D257" s="83"/>
      <c r="E257" s="83"/>
      <c r="F257" s="83"/>
      <c r="G257" s="83"/>
      <c r="H257" s="83"/>
      <c r="I257" s="83"/>
      <c r="J257" s="83"/>
    </row>
  </sheetData>
  <mergeCells count="29">
    <mergeCell ref="B1:S1"/>
    <mergeCell ref="M2:S2"/>
    <mergeCell ref="B3:D3"/>
    <mergeCell ref="M3:S3"/>
    <mergeCell ref="B5:D5"/>
    <mergeCell ref="M5:P5"/>
    <mergeCell ref="A11:A12"/>
    <mergeCell ref="B11:B12"/>
    <mergeCell ref="C11:C12"/>
    <mergeCell ref="D11:D12"/>
    <mergeCell ref="E11:E12"/>
    <mergeCell ref="M6:S6"/>
    <mergeCell ref="O8:P8"/>
    <mergeCell ref="S8:AH8"/>
    <mergeCell ref="B9:R9"/>
    <mergeCell ref="B10:R10"/>
    <mergeCell ref="S11:S12"/>
    <mergeCell ref="C248:E248"/>
    <mergeCell ref="F11:F12"/>
    <mergeCell ref="G11:G12"/>
    <mergeCell ref="H11:K11"/>
    <mergeCell ref="L11:L12"/>
    <mergeCell ref="M11:M12"/>
    <mergeCell ref="N11:N12"/>
    <mergeCell ref="C254:E254"/>
    <mergeCell ref="O11:O12"/>
    <mergeCell ref="P11:P12"/>
    <mergeCell ref="Q11:Q12"/>
    <mergeCell ref="R11:R12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312E2-25CC-4727-8E8D-E10DC95F1D42}">
  <dimension ref="A1:AI257"/>
  <sheetViews>
    <sheetView view="pageBreakPreview" topLeftCell="B238" zoomScale="60" zoomScaleNormal="70" workbookViewId="0">
      <selection activeCell="S230" sqref="S230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2" width="11.33203125" style="2" customWidth="1"/>
    <col min="13" max="13" width="10.21875" style="2" customWidth="1"/>
    <col min="14" max="14" width="9.88671875" style="2" customWidth="1"/>
    <col min="15" max="15" width="12.5546875" style="2" customWidth="1"/>
    <col min="16" max="16" width="10.88671875" style="2" customWidth="1"/>
    <col min="17" max="17" width="0.21875" style="2" customWidth="1"/>
    <col min="18" max="18" width="11.5546875" style="2" customWidth="1"/>
    <col min="19" max="19" width="11.886718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4"/>
      <c r="S1" s="16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63"/>
      <c r="N2" s="164"/>
      <c r="O2" s="164"/>
      <c r="P2" s="164"/>
      <c r="Q2" s="164"/>
      <c r="R2" s="164"/>
      <c r="S2" s="164"/>
    </row>
    <row r="3" spans="1:35" ht="40.799999999999997" customHeight="1" x14ac:dyDescent="0.35">
      <c r="B3" s="165" t="s">
        <v>0</v>
      </c>
      <c r="C3" s="166"/>
      <c r="D3" s="166"/>
      <c r="E3" s="4"/>
      <c r="F3" s="4"/>
      <c r="G3" s="4"/>
      <c r="H3" s="4"/>
      <c r="I3" s="4"/>
      <c r="J3" s="4"/>
      <c r="K3" s="4"/>
      <c r="L3" s="4"/>
      <c r="M3" s="167" t="s">
        <v>1</v>
      </c>
      <c r="N3" s="168"/>
      <c r="O3" s="168"/>
      <c r="P3" s="168"/>
      <c r="Q3" s="168"/>
      <c r="R3" s="168"/>
      <c r="S3" s="168"/>
    </row>
    <row r="4" spans="1:35" ht="11.4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/>
      <c r="N4"/>
      <c r="O4"/>
      <c r="P4"/>
      <c r="Q4"/>
      <c r="R4"/>
      <c r="S4"/>
    </row>
    <row r="5" spans="1:35" ht="17.399999999999999" x14ac:dyDescent="0.3">
      <c r="B5" s="169" t="s">
        <v>2</v>
      </c>
      <c r="C5" s="169"/>
      <c r="D5" s="169"/>
      <c r="G5" s="8"/>
      <c r="H5" s="8"/>
      <c r="I5" s="8"/>
      <c r="J5" s="8"/>
      <c r="K5" s="8"/>
      <c r="L5" s="8"/>
      <c r="M5" s="143" t="s">
        <v>3</v>
      </c>
      <c r="N5" s="144"/>
      <c r="O5" s="144"/>
      <c r="P5" s="144"/>
      <c r="Q5" s="9"/>
      <c r="R5" s="9"/>
      <c r="S5" s="3"/>
    </row>
    <row r="6" spans="1:35" ht="29.4" customHeight="1" x14ac:dyDescent="0.3">
      <c r="B6" s="10"/>
      <c r="G6" s="11"/>
      <c r="H6" s="12"/>
      <c r="M6" s="155" t="s">
        <v>4</v>
      </c>
      <c r="N6" s="144"/>
      <c r="O6" s="144"/>
      <c r="P6" s="144"/>
      <c r="Q6" s="144"/>
      <c r="R6" s="144"/>
      <c r="S6" s="144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6" t="s">
        <v>333</v>
      </c>
      <c r="P8" s="157"/>
      <c r="Q8" s="13"/>
      <c r="R8" s="13"/>
      <c r="S8" s="158" t="s">
        <v>6</v>
      </c>
      <c r="T8" s="158"/>
      <c r="U8" s="158"/>
      <c r="V8" s="158"/>
      <c r="W8" s="158"/>
      <c r="X8" s="158"/>
      <c r="Y8" s="158"/>
      <c r="Z8" s="158"/>
      <c r="AA8" s="158"/>
      <c r="AB8" s="158"/>
      <c r="AC8" s="158"/>
      <c r="AD8" s="158"/>
      <c r="AE8" s="158"/>
      <c r="AF8" s="158"/>
      <c r="AG8" s="158"/>
      <c r="AH8" s="158"/>
      <c r="AI8" s="14"/>
    </row>
    <row r="9" spans="1:35" ht="23.4" customHeight="1" x14ac:dyDescent="0.3">
      <c r="B9" s="159" t="s">
        <v>7</v>
      </c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4" t="s">
        <v>8</v>
      </c>
    </row>
    <row r="10" spans="1:35" ht="27.6" customHeight="1" thickBot="1" x14ac:dyDescent="0.35">
      <c r="B10" s="160" t="s">
        <v>334</v>
      </c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</row>
    <row r="11" spans="1:35" ht="37.950000000000003" customHeight="1" x14ac:dyDescent="0.25">
      <c r="A11" s="161"/>
      <c r="B11" s="149" t="s">
        <v>10</v>
      </c>
      <c r="C11" s="151" t="s">
        <v>11</v>
      </c>
      <c r="D11" s="151" t="s">
        <v>12</v>
      </c>
      <c r="E11" s="151" t="s">
        <v>13</v>
      </c>
      <c r="F11" s="151" t="s">
        <v>14</v>
      </c>
      <c r="G11" s="151" t="s">
        <v>15</v>
      </c>
      <c r="H11" s="151" t="s">
        <v>16</v>
      </c>
      <c r="I11" s="151"/>
      <c r="J11" s="151"/>
      <c r="K11" s="151"/>
      <c r="L11" s="147" t="s">
        <v>17</v>
      </c>
      <c r="M11" s="147" t="s">
        <v>18</v>
      </c>
      <c r="N11" s="147" t="s">
        <v>19</v>
      </c>
      <c r="O11" s="145" t="s">
        <v>20</v>
      </c>
      <c r="P11" s="147" t="s">
        <v>21</v>
      </c>
      <c r="Q11" s="149"/>
      <c r="R11" s="151" t="s">
        <v>22</v>
      </c>
      <c r="S11" s="153" t="s">
        <v>335</v>
      </c>
    </row>
    <row r="12" spans="1:35" ht="64.95" customHeight="1" thickBot="1" x14ac:dyDescent="0.3">
      <c r="A12" s="162"/>
      <c r="B12" s="150"/>
      <c r="C12" s="152"/>
      <c r="D12" s="152"/>
      <c r="E12" s="152"/>
      <c r="F12" s="152"/>
      <c r="G12" s="152"/>
      <c r="H12" s="16" t="s">
        <v>24</v>
      </c>
      <c r="I12" s="17" t="s">
        <v>25</v>
      </c>
      <c r="J12" s="17" t="s">
        <v>26</v>
      </c>
      <c r="K12" s="16" t="s">
        <v>27</v>
      </c>
      <c r="L12" s="148"/>
      <c r="M12" s="148"/>
      <c r="N12" s="148"/>
      <c r="O12" s="146"/>
      <c r="P12" s="148"/>
      <c r="Q12" s="150"/>
      <c r="R12" s="152"/>
      <c r="S12" s="154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R14*6</f>
        <v>322500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R15*6</f>
        <v>135000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135000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5815</v>
      </c>
      <c r="F17" s="23"/>
      <c r="G17" s="23">
        <f>E17</f>
        <v>5815</v>
      </c>
      <c r="H17" s="23">
        <f>G17*0.5</f>
        <v>2907.5</v>
      </c>
      <c r="I17" s="23" t="s">
        <v>37</v>
      </c>
      <c r="J17" s="24"/>
      <c r="K17" s="22">
        <f>G17*0.3</f>
        <v>1744.5</v>
      </c>
      <c r="L17" s="23"/>
      <c r="M17" s="24"/>
      <c r="N17" s="23"/>
      <c r="O17" s="26">
        <f>G17*200%</f>
        <v>11630</v>
      </c>
      <c r="P17" s="24"/>
      <c r="Q17" s="22"/>
      <c r="R17" s="23">
        <f>N17+K17+H17+E17+L17+O17</f>
        <v>22097</v>
      </c>
      <c r="S17" s="25">
        <f t="shared" si="0"/>
        <v>132582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6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240000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5240*C19</f>
        <v>10480</v>
      </c>
      <c r="F19" s="23"/>
      <c r="G19" s="23">
        <f t="shared" si="1"/>
        <v>10480</v>
      </c>
      <c r="H19" s="23">
        <f t="shared" ref="H19:H26" si="2">G19*0.5</f>
        <v>5240</v>
      </c>
      <c r="I19" s="23"/>
      <c r="J19" s="23"/>
      <c r="K19" s="23"/>
      <c r="L19" s="23" t="s">
        <v>44</v>
      </c>
      <c r="M19" s="23"/>
      <c r="N19" s="23"/>
      <c r="O19" s="23">
        <f>10480*C19</f>
        <v>20960</v>
      </c>
      <c r="P19" s="23" t="s">
        <v>8</v>
      </c>
      <c r="Q19" s="23"/>
      <c r="R19" s="23">
        <f>G19+H19+O19</f>
        <v>36680</v>
      </c>
      <c r="S19" s="25">
        <f t="shared" si="0"/>
        <v>220080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8</v>
      </c>
      <c r="E20" s="23">
        <v>5240</v>
      </c>
      <c r="F20" s="23"/>
      <c r="G20" s="23">
        <f t="shared" si="1"/>
        <v>5240</v>
      </c>
      <c r="H20" s="23">
        <f t="shared" si="2"/>
        <v>2620</v>
      </c>
      <c r="I20" s="23"/>
      <c r="J20" s="23"/>
      <c r="K20" s="23"/>
      <c r="L20" s="23" t="s">
        <v>44</v>
      </c>
      <c r="M20" s="23"/>
      <c r="N20" s="23"/>
      <c r="O20" s="23">
        <v>10480</v>
      </c>
      <c r="P20" s="23" t="s">
        <v>8</v>
      </c>
      <c r="Q20" s="23"/>
      <c r="R20" s="23">
        <f>G20+H20+O20</f>
        <v>18340</v>
      </c>
      <c r="S20" s="25">
        <f t="shared" si="0"/>
        <v>110040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5240</v>
      </c>
      <c r="F21" s="22"/>
      <c r="G21" s="23">
        <f t="shared" si="1"/>
        <v>5240</v>
      </c>
      <c r="H21" s="23">
        <f t="shared" si="2"/>
        <v>2620</v>
      </c>
      <c r="I21" s="24"/>
      <c r="J21" s="24"/>
      <c r="K21" s="22"/>
      <c r="L21" s="24"/>
      <c r="M21" s="24"/>
      <c r="N21" s="23"/>
      <c r="O21" s="23">
        <f>G21*200%</f>
        <v>10480</v>
      </c>
      <c r="P21" s="24"/>
      <c r="Q21" s="22"/>
      <c r="R21" s="23">
        <f t="shared" ref="R21:R25" si="3">G21+H21+O21</f>
        <v>18340</v>
      </c>
      <c r="S21" s="25">
        <f t="shared" si="0"/>
        <v>110040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4633</v>
      </c>
      <c r="F22" s="22"/>
      <c r="G22" s="23">
        <f t="shared" si="1"/>
        <v>4633</v>
      </c>
      <c r="H22" s="22">
        <f t="shared" si="2"/>
        <v>2316.5</v>
      </c>
      <c r="I22" s="24"/>
      <c r="J22" s="24"/>
      <c r="K22" s="22"/>
      <c r="L22" s="24"/>
      <c r="M22" s="24"/>
      <c r="N22" s="23"/>
      <c r="O22" s="23">
        <f>G22*200%</f>
        <v>9266</v>
      </c>
      <c r="P22" s="24"/>
      <c r="Q22" s="22"/>
      <c r="R22" s="23">
        <f t="shared" si="3"/>
        <v>16215.5</v>
      </c>
      <c r="S22" s="25">
        <f t="shared" si="0"/>
        <v>97293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E22/2</f>
        <v>2316.5</v>
      </c>
      <c r="F23" s="22"/>
      <c r="G23" s="23">
        <f t="shared" si="1"/>
        <v>2316.5</v>
      </c>
      <c r="H23" s="22">
        <f t="shared" si="2"/>
        <v>1158.25</v>
      </c>
      <c r="I23" s="24"/>
      <c r="J23" s="24"/>
      <c r="K23" s="22"/>
      <c r="L23" s="24"/>
      <c r="M23" s="24"/>
      <c r="N23" s="23"/>
      <c r="O23" s="23">
        <f>G23*150%</f>
        <v>3474.75</v>
      </c>
      <c r="P23" s="24"/>
      <c r="Q23" s="22"/>
      <c r="R23" s="23">
        <f t="shared" si="3"/>
        <v>6949.5</v>
      </c>
      <c r="S23" s="25">
        <f t="shared" si="0"/>
        <v>41697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4058</v>
      </c>
      <c r="F24" s="22"/>
      <c r="G24" s="23">
        <f t="shared" si="1"/>
        <v>4058</v>
      </c>
      <c r="H24" s="22">
        <f t="shared" si="2"/>
        <v>2029</v>
      </c>
      <c r="I24" s="24"/>
      <c r="J24" s="24"/>
      <c r="K24" s="22"/>
      <c r="L24" s="24"/>
      <c r="M24" s="24"/>
      <c r="N24" s="23"/>
      <c r="O24" s="23">
        <f>G24*200%</f>
        <v>8116</v>
      </c>
      <c r="P24" s="24"/>
      <c r="Q24" s="22"/>
      <c r="R24" s="23">
        <f t="shared" si="3"/>
        <v>14203</v>
      </c>
      <c r="S24" s="25">
        <f t="shared" si="0"/>
        <v>85218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5527</v>
      </c>
      <c r="F25" s="23"/>
      <c r="G25" s="23">
        <f t="shared" si="1"/>
        <v>5527</v>
      </c>
      <c r="H25" s="23">
        <f t="shared" si="2"/>
        <v>2763.5</v>
      </c>
      <c r="I25" s="23"/>
      <c r="J25" s="23"/>
      <c r="K25" s="23"/>
      <c r="L25" s="23"/>
      <c r="M25" s="23"/>
      <c r="N25" s="23"/>
      <c r="O25" s="23">
        <f>G25*150%</f>
        <v>8290.5</v>
      </c>
      <c r="P25" s="23"/>
      <c r="Q25" s="23"/>
      <c r="R25" s="23">
        <f t="shared" si="3"/>
        <v>16581</v>
      </c>
      <c r="S25" s="25">
        <f t="shared" si="0"/>
        <v>99486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4058*C26</f>
        <v>4058</v>
      </c>
      <c r="F26" s="22"/>
      <c r="G26" s="23">
        <f t="shared" si="1"/>
        <v>4058</v>
      </c>
      <c r="H26" s="22">
        <f t="shared" si="2"/>
        <v>2029</v>
      </c>
      <c r="I26" s="24"/>
      <c r="J26" s="24"/>
      <c r="K26" s="22"/>
      <c r="L26" s="24"/>
      <c r="M26" s="24"/>
      <c r="N26" s="23"/>
      <c r="O26" s="23">
        <f>G26*150%</f>
        <v>6087</v>
      </c>
      <c r="P26" s="24"/>
      <c r="Q26" s="22"/>
      <c r="R26" s="23">
        <f>G26+H26+O26</f>
        <v>12174</v>
      </c>
      <c r="S26" s="25">
        <f t="shared" si="0"/>
        <v>73044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137367.5</v>
      </c>
      <c r="F27" s="34"/>
      <c r="G27" s="35">
        <f>SUM(G14:G26)</f>
        <v>137367.5</v>
      </c>
      <c r="H27" s="34">
        <f>SUM(H14:H26)</f>
        <v>23683.75</v>
      </c>
      <c r="I27" s="90"/>
      <c r="J27" s="90"/>
      <c r="K27" s="34">
        <f>SUM(K14:K26)</f>
        <v>1744.5</v>
      </c>
      <c r="L27" s="90"/>
      <c r="M27" s="34">
        <f>SUM(M14:M26)</f>
        <v>3750</v>
      </c>
      <c r="N27" s="35"/>
      <c r="O27" s="35">
        <f>SUM(O14:O26)</f>
        <v>133784.25</v>
      </c>
      <c r="P27" s="90"/>
      <c r="Q27" s="34"/>
      <c r="R27" s="35">
        <f>SUM(R14:R26)</f>
        <v>300330</v>
      </c>
      <c r="S27" s="36">
        <f>SUM(S14:S26)</f>
        <v>1801980</v>
      </c>
    </row>
    <row r="28" spans="1:19" s="13" customFormat="1" ht="25.2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93"/>
    </row>
    <row r="29" spans="1:19" x14ac:dyDescent="0.25">
      <c r="A29" s="20" t="s">
        <v>61</v>
      </c>
      <c r="B29" s="21" t="s">
        <v>62</v>
      </c>
      <c r="C29" s="22">
        <v>0.5</v>
      </c>
      <c r="D29" s="22">
        <v>7</v>
      </c>
      <c r="E29" s="23">
        <f>4920*C29</f>
        <v>2460</v>
      </c>
      <c r="F29" s="22"/>
      <c r="G29" s="23">
        <f t="shared" ref="G29:G32" si="4">E29+F29</f>
        <v>2460</v>
      </c>
      <c r="H29" s="23"/>
      <c r="I29" s="23"/>
      <c r="J29" s="23"/>
      <c r="K29" s="23"/>
      <c r="L29" s="23"/>
      <c r="M29" s="23"/>
      <c r="N29" s="23"/>
      <c r="O29" s="23"/>
      <c r="P29" s="23">
        <f>8000*C29-G29</f>
        <v>1540</v>
      </c>
      <c r="Q29" s="23"/>
      <c r="R29" s="23">
        <f>G29+H29+I29+ J29+K29+L29+N29+O29+P29</f>
        <v>4000</v>
      </c>
      <c r="S29" s="25">
        <f>R29*6</f>
        <v>24000</v>
      </c>
    </row>
    <row r="30" spans="1:19" x14ac:dyDescent="0.25">
      <c r="A30" s="20" t="s">
        <v>61</v>
      </c>
      <c r="B30" s="21" t="s">
        <v>328</v>
      </c>
      <c r="C30" s="22">
        <v>0.5</v>
      </c>
      <c r="D30" s="22">
        <v>6</v>
      </c>
      <c r="E30" s="23">
        <f>4633*C30</f>
        <v>2316.5</v>
      </c>
      <c r="F30" s="22"/>
      <c r="G30" s="23">
        <f t="shared" si="4"/>
        <v>2316.5</v>
      </c>
      <c r="H30" s="23"/>
      <c r="I30" s="23"/>
      <c r="J30" s="23"/>
      <c r="K30" s="23"/>
      <c r="L30" s="23"/>
      <c r="M30" s="23"/>
      <c r="N30" s="23"/>
      <c r="O30" s="23"/>
      <c r="P30" s="23">
        <f>8000*C30-G30</f>
        <v>1683.5</v>
      </c>
      <c r="Q30" s="23"/>
      <c r="R30" s="23">
        <f>G30+H30+I30+ J30+K30+L30+N30+O30+P30</f>
        <v>4000</v>
      </c>
      <c r="S30" s="25">
        <f t="shared" ref="S30:S37" si="5">R30*6</f>
        <v>24000</v>
      </c>
    </row>
    <row r="31" spans="1:19" x14ac:dyDescent="0.25">
      <c r="A31" s="20" t="s">
        <v>63</v>
      </c>
      <c r="B31" s="21" t="s">
        <v>64</v>
      </c>
      <c r="C31" s="22">
        <v>0.5</v>
      </c>
      <c r="D31" s="22">
        <v>1</v>
      </c>
      <c r="E31" s="23">
        <f>3195*C31</f>
        <v>1597.5</v>
      </c>
      <c r="F31" s="22"/>
      <c r="G31" s="23">
        <f t="shared" si="4"/>
        <v>1597.5</v>
      </c>
      <c r="H31" s="23"/>
      <c r="I31" s="23"/>
      <c r="J31" s="23"/>
      <c r="K31" s="23"/>
      <c r="L31" s="23"/>
      <c r="M31" s="23"/>
      <c r="N31" s="23"/>
      <c r="O31" s="23"/>
      <c r="P31" s="23">
        <f>8000-G31</f>
        <v>6402.5</v>
      </c>
      <c r="Q31" s="23"/>
      <c r="R31" s="23">
        <f t="shared" ref="R31:R32" si="6">G31+H31+I31+ J31+K31+L31+N31+O31+P31</f>
        <v>8000</v>
      </c>
      <c r="S31" s="25">
        <f t="shared" si="5"/>
        <v>48000</v>
      </c>
    </row>
    <row r="32" spans="1:19" x14ac:dyDescent="0.25">
      <c r="A32" s="20" t="s">
        <v>65</v>
      </c>
      <c r="B32" s="21" t="s">
        <v>66</v>
      </c>
      <c r="C32" s="22">
        <v>1.5</v>
      </c>
      <c r="D32" s="22">
        <v>1</v>
      </c>
      <c r="E32" s="23">
        <f>3195*C32</f>
        <v>4792.5</v>
      </c>
      <c r="F32" s="22"/>
      <c r="G32" s="23">
        <f t="shared" si="4"/>
        <v>4792.5</v>
      </c>
      <c r="H32" s="23"/>
      <c r="I32" s="23"/>
      <c r="J32" s="23"/>
      <c r="K32" s="23"/>
      <c r="L32" s="23"/>
      <c r="M32" s="23"/>
      <c r="N32" s="23"/>
      <c r="O32" s="23"/>
      <c r="P32" s="23">
        <f t="shared" ref="P32" si="7">8000-G32</f>
        <v>3207.5</v>
      </c>
      <c r="Q32" s="23"/>
      <c r="R32" s="23">
        <f t="shared" si="6"/>
        <v>8000</v>
      </c>
      <c r="S32" s="25">
        <f t="shared" si="5"/>
        <v>48000</v>
      </c>
    </row>
    <row r="33" spans="1:19" x14ac:dyDescent="0.25">
      <c r="A33" s="20" t="s">
        <v>67</v>
      </c>
      <c r="B33" s="21" t="s">
        <v>68</v>
      </c>
      <c r="C33" s="22">
        <v>1.5</v>
      </c>
      <c r="D33" s="22">
        <v>3</v>
      </c>
      <c r="E33" s="23">
        <f>3770*C33</f>
        <v>5655</v>
      </c>
      <c r="F33" s="22"/>
      <c r="G33" s="23">
        <f t="shared" si="1"/>
        <v>5655</v>
      </c>
      <c r="H33" s="23"/>
      <c r="I33" s="23"/>
      <c r="J33" s="23"/>
      <c r="K33" s="23"/>
      <c r="L33" s="23"/>
      <c r="M33" s="23"/>
      <c r="N33" s="23"/>
      <c r="O33" s="23"/>
      <c r="P33" s="23">
        <f>8000*C33-G33</f>
        <v>6345</v>
      </c>
      <c r="Q33" s="23"/>
      <c r="R33" s="23">
        <f>G33+H33+I33+ J33+K33+L33+N33+O33+P33</f>
        <v>12000</v>
      </c>
      <c r="S33" s="25">
        <f t="shared" si="5"/>
        <v>72000</v>
      </c>
    </row>
    <row r="34" spans="1:19" ht="24" x14ac:dyDescent="0.25">
      <c r="A34" s="20" t="s">
        <v>67</v>
      </c>
      <c r="B34" s="21" t="s">
        <v>315</v>
      </c>
      <c r="C34" s="22">
        <v>0.5</v>
      </c>
      <c r="D34" s="22">
        <v>3</v>
      </c>
      <c r="E34" s="23">
        <f>3770*C34</f>
        <v>1885</v>
      </c>
      <c r="F34" s="22"/>
      <c r="G34" s="23">
        <f t="shared" si="1"/>
        <v>1885</v>
      </c>
      <c r="H34" s="23"/>
      <c r="I34" s="23"/>
      <c r="J34" s="23"/>
      <c r="K34" s="23"/>
      <c r="L34" s="23"/>
      <c r="M34" s="23"/>
      <c r="N34" s="23"/>
      <c r="O34" s="23"/>
      <c r="P34" s="23">
        <f>8000*C34-G34</f>
        <v>2115</v>
      </c>
      <c r="Q34" s="23"/>
      <c r="R34" s="23">
        <f>G34+H34+I34+ J34+K34+L34+N34+O34+P34</f>
        <v>4000</v>
      </c>
      <c r="S34" s="25">
        <f t="shared" si="5"/>
        <v>24000</v>
      </c>
    </row>
    <row r="35" spans="1:19" ht="12.6" customHeight="1" x14ac:dyDescent="0.25">
      <c r="A35" s="20" t="s">
        <v>69</v>
      </c>
      <c r="B35" s="21" t="s">
        <v>70</v>
      </c>
      <c r="C35" s="22">
        <v>1</v>
      </c>
      <c r="D35" s="22">
        <v>2</v>
      </c>
      <c r="E35" s="23">
        <v>3483</v>
      </c>
      <c r="F35" s="22">
        <f>E35*0.2</f>
        <v>696.6</v>
      </c>
      <c r="G35" s="23">
        <f t="shared" si="1"/>
        <v>4179.6000000000004</v>
      </c>
      <c r="H35" s="23"/>
      <c r="I35" s="23"/>
      <c r="J35" s="23">
        <f>G35*4%</f>
        <v>167.18400000000003</v>
      </c>
      <c r="K35" s="23"/>
      <c r="L35" s="23"/>
      <c r="M35" s="23"/>
      <c r="N35" s="23"/>
      <c r="O35" s="23"/>
      <c r="P35" s="23">
        <f>8000-E35</f>
        <v>4517</v>
      </c>
      <c r="Q35" s="23"/>
      <c r="R35" s="23">
        <f>G35+J35+P35</f>
        <v>8863.7839999999997</v>
      </c>
      <c r="S35" s="25">
        <f t="shared" si="5"/>
        <v>53182.703999999998</v>
      </c>
    </row>
    <row r="36" spans="1:19" ht="18" customHeight="1" x14ac:dyDescent="0.25">
      <c r="A36" s="20" t="s">
        <v>71</v>
      </c>
      <c r="B36" s="21" t="s">
        <v>72</v>
      </c>
      <c r="C36" s="22">
        <v>1</v>
      </c>
      <c r="D36" s="22">
        <v>1</v>
      </c>
      <c r="E36" s="23">
        <v>3195</v>
      </c>
      <c r="F36" s="22"/>
      <c r="G36" s="23">
        <f t="shared" si="1"/>
        <v>3195</v>
      </c>
      <c r="H36" s="23"/>
      <c r="I36" s="23"/>
      <c r="J36" s="23"/>
      <c r="K36" s="23"/>
      <c r="L36" s="23"/>
      <c r="M36" s="23"/>
      <c r="N36" s="23"/>
      <c r="O36" s="23"/>
      <c r="P36" s="23">
        <f>8000-G36</f>
        <v>4805</v>
      </c>
      <c r="Q36" s="23"/>
      <c r="R36" s="23">
        <f t="shared" ref="R36" si="8">G36+H36+I36+ J36+K36+L36+N36+O36+P36</f>
        <v>8000</v>
      </c>
      <c r="S36" s="25">
        <f t="shared" si="5"/>
        <v>48000</v>
      </c>
    </row>
    <row r="37" spans="1:19" x14ac:dyDescent="0.25">
      <c r="A37" s="20" t="s">
        <v>73</v>
      </c>
      <c r="B37" s="21" t="s">
        <v>74</v>
      </c>
      <c r="C37" s="22">
        <v>1</v>
      </c>
      <c r="D37" s="22">
        <v>5</v>
      </c>
      <c r="E37" s="23">
        <v>4345</v>
      </c>
      <c r="F37" s="23"/>
      <c r="G37" s="23">
        <f>E37+F37</f>
        <v>4345</v>
      </c>
      <c r="H37" s="23"/>
      <c r="I37" s="23"/>
      <c r="J37" s="23"/>
      <c r="K37" s="23"/>
      <c r="L37" s="23"/>
      <c r="M37" s="23"/>
      <c r="N37" s="23"/>
      <c r="O37" s="23"/>
      <c r="P37" s="23">
        <f>8000-G37</f>
        <v>3655</v>
      </c>
      <c r="Q37" s="32"/>
      <c r="R37" s="23">
        <f>G37+P37</f>
        <v>8000</v>
      </c>
      <c r="S37" s="25">
        <f t="shared" si="5"/>
        <v>48000</v>
      </c>
    </row>
    <row r="38" spans="1:19" s="27" customFormat="1" ht="20.399999999999999" customHeight="1" thickBot="1" x14ac:dyDescent="0.3">
      <c r="A38" s="64"/>
      <c r="B38" s="47" t="s">
        <v>59</v>
      </c>
      <c r="C38" s="34">
        <f>SUM(C29:C37)</f>
        <v>8</v>
      </c>
      <c r="D38" s="34"/>
      <c r="E38" s="35">
        <f>SUM(E29:E37)</f>
        <v>29729.5</v>
      </c>
      <c r="F38" s="34">
        <f>SUM(F29:F37)</f>
        <v>696.6</v>
      </c>
      <c r="G38" s="35">
        <f>E38+F38</f>
        <v>30426.1</v>
      </c>
      <c r="H38" s="35"/>
      <c r="I38" s="35">
        <f>SUM(I29:I36)</f>
        <v>0</v>
      </c>
      <c r="J38" s="35">
        <f>SUM(J29:J36)</f>
        <v>167.18400000000003</v>
      </c>
      <c r="K38" s="35"/>
      <c r="L38" s="35"/>
      <c r="M38" s="35"/>
      <c r="N38" s="35"/>
      <c r="O38" s="35"/>
      <c r="P38" s="35">
        <f>SUM(P29:P37)</f>
        <v>34270.5</v>
      </c>
      <c r="Q38" s="35"/>
      <c r="R38" s="35">
        <f>SUM(R29:R37)</f>
        <v>64863.784</v>
      </c>
      <c r="S38" s="36">
        <f>SUM(S29:S37)</f>
        <v>389182.70400000003</v>
      </c>
    </row>
    <row r="39" spans="1:19" ht="25.8" customHeight="1" x14ac:dyDescent="0.25">
      <c r="A39" s="18"/>
      <c r="B39" s="86" t="s">
        <v>75</v>
      </c>
      <c r="C39" s="85"/>
      <c r="D39" s="85"/>
      <c r="E39" s="85"/>
      <c r="F39" s="85"/>
      <c r="G39" s="94"/>
      <c r="H39" s="85" t="s">
        <v>76</v>
      </c>
      <c r="I39" s="95"/>
      <c r="J39" s="95"/>
      <c r="K39" s="85"/>
      <c r="L39" s="95"/>
      <c r="M39" s="95"/>
      <c r="N39" s="95"/>
      <c r="O39" s="95"/>
      <c r="P39" s="95"/>
      <c r="Q39" s="85"/>
      <c r="R39" s="85"/>
      <c r="S39" s="96"/>
    </row>
    <row r="40" spans="1:19" s="13" customFormat="1" x14ac:dyDescent="0.2">
      <c r="A40" s="28" t="s">
        <v>77</v>
      </c>
      <c r="B40" s="21" t="s">
        <v>78</v>
      </c>
      <c r="C40" s="22">
        <v>2.5</v>
      </c>
      <c r="D40" s="22">
        <v>2</v>
      </c>
      <c r="E40" s="23">
        <f>3483*C40</f>
        <v>8707.5</v>
      </c>
      <c r="F40" s="22"/>
      <c r="G40" s="23">
        <f t="shared" ref="G40:G41" si="9">E40+F40</f>
        <v>8707.5</v>
      </c>
      <c r="H40" s="23"/>
      <c r="I40" s="23"/>
      <c r="J40" s="23"/>
      <c r="K40" s="23"/>
      <c r="L40" s="23"/>
      <c r="M40" s="23"/>
      <c r="N40" s="23"/>
      <c r="O40" s="23"/>
      <c r="P40" s="23">
        <f>8000*C40-G40</f>
        <v>11292.5</v>
      </c>
      <c r="Q40" s="23"/>
      <c r="R40" s="23">
        <f t="shared" ref="R40" si="10">G40+H40+I40+ J40+K40+L40+N40+O40+P40</f>
        <v>20000</v>
      </c>
      <c r="S40" s="25">
        <f>R40*6</f>
        <v>120000</v>
      </c>
    </row>
    <row r="41" spans="1:19" s="37" customFormat="1" ht="16.8" customHeight="1" thickBot="1" x14ac:dyDescent="0.3">
      <c r="A41" s="33"/>
      <c r="B41" s="47" t="s">
        <v>59</v>
      </c>
      <c r="C41" s="34">
        <f>SUM(C40:C40)</f>
        <v>2.5</v>
      </c>
      <c r="D41" s="34"/>
      <c r="E41" s="35">
        <f>SUM(E40:E40)</f>
        <v>8707.5</v>
      </c>
      <c r="F41" s="34"/>
      <c r="G41" s="35">
        <f t="shared" si="9"/>
        <v>8707.5</v>
      </c>
      <c r="H41" s="35"/>
      <c r="I41" s="35"/>
      <c r="J41" s="35"/>
      <c r="K41" s="35"/>
      <c r="L41" s="35"/>
      <c r="M41" s="35"/>
      <c r="N41" s="35"/>
      <c r="O41" s="35"/>
      <c r="P41" s="35">
        <f>SUM(P40:P40)</f>
        <v>11292.5</v>
      </c>
      <c r="Q41" s="35"/>
      <c r="R41" s="35">
        <f>SUM(G41:Q41)</f>
        <v>20000</v>
      </c>
      <c r="S41" s="36">
        <f>SUM(S40:S40)</f>
        <v>120000</v>
      </c>
    </row>
    <row r="42" spans="1:19" s="38" customFormat="1" ht="26.4" customHeight="1" x14ac:dyDescent="0.25">
      <c r="A42" s="18"/>
      <c r="B42" s="86" t="s">
        <v>79</v>
      </c>
      <c r="C42" s="86"/>
      <c r="D42" s="86"/>
      <c r="E42" s="86"/>
      <c r="F42" s="86"/>
      <c r="G42" s="94"/>
      <c r="H42" s="86"/>
      <c r="I42" s="19"/>
      <c r="J42" s="19"/>
      <c r="K42" s="86"/>
      <c r="L42" s="19"/>
      <c r="M42" s="19"/>
      <c r="N42" s="19"/>
      <c r="O42" s="19"/>
      <c r="P42" s="19"/>
      <c r="Q42" s="86"/>
      <c r="R42" s="86"/>
      <c r="S42" s="87"/>
    </row>
    <row r="43" spans="1:19" s="38" customFormat="1" ht="16.95" customHeight="1" x14ac:dyDescent="0.25">
      <c r="A43" s="20" t="s">
        <v>80</v>
      </c>
      <c r="B43" s="21" t="s">
        <v>64</v>
      </c>
      <c r="C43" s="22">
        <v>0.5</v>
      </c>
      <c r="D43" s="22">
        <v>1</v>
      </c>
      <c r="E43" s="22">
        <v>1597.5</v>
      </c>
      <c r="F43" s="22"/>
      <c r="G43" s="22">
        <v>1597.5</v>
      </c>
      <c r="H43" s="22"/>
      <c r="I43" s="24"/>
      <c r="J43" s="24"/>
      <c r="K43" s="22"/>
      <c r="L43" s="24"/>
      <c r="M43" s="24"/>
      <c r="N43" s="24"/>
      <c r="O43" s="24"/>
      <c r="P43" s="23">
        <f>8000/2-G43</f>
        <v>2402.5</v>
      </c>
      <c r="Q43" s="22"/>
      <c r="R43" s="23">
        <f t="shared" ref="R43" si="11">G43+H43+I43+ J43+K43+L43+N43+O43+P43</f>
        <v>4000</v>
      </c>
      <c r="S43" s="25">
        <f>R43*6</f>
        <v>24000</v>
      </c>
    </row>
    <row r="44" spans="1:19" x14ac:dyDescent="0.25">
      <c r="A44" s="20" t="s">
        <v>81</v>
      </c>
      <c r="B44" s="21" t="s">
        <v>82</v>
      </c>
      <c r="C44" s="22">
        <v>2</v>
      </c>
      <c r="D44" s="22">
        <v>4</v>
      </c>
      <c r="E44" s="23">
        <f>4058*C44</f>
        <v>8116</v>
      </c>
      <c r="F44" s="22"/>
      <c r="G44" s="23">
        <f t="shared" ref="G44:G45" si="12">E44+F44</f>
        <v>8116</v>
      </c>
      <c r="H44" s="23"/>
      <c r="I44" s="23"/>
      <c r="J44" s="23">
        <f>G44*0.04</f>
        <v>324.64</v>
      </c>
      <c r="K44" s="23"/>
      <c r="L44" s="23"/>
      <c r="M44" s="23"/>
      <c r="N44" s="23"/>
      <c r="O44" s="23"/>
      <c r="P44" s="23">
        <f>8000*C44-G44</f>
        <v>7884</v>
      </c>
      <c r="Q44" s="23"/>
      <c r="R44" s="23">
        <f>SUM(G44:P44)</f>
        <v>16324.64</v>
      </c>
      <c r="S44" s="25">
        <f t="shared" ref="S44:S45" si="13">R44*6</f>
        <v>97947.839999999997</v>
      </c>
    </row>
    <row r="45" spans="1:19" x14ac:dyDescent="0.25">
      <c r="A45" s="20" t="s">
        <v>83</v>
      </c>
      <c r="B45" s="21" t="s">
        <v>84</v>
      </c>
      <c r="C45" s="22">
        <v>2</v>
      </c>
      <c r="D45" s="22">
        <v>1</v>
      </c>
      <c r="E45" s="23">
        <f>3195*C45</f>
        <v>6390</v>
      </c>
      <c r="F45" s="22"/>
      <c r="G45" s="23">
        <f t="shared" si="12"/>
        <v>6390</v>
      </c>
      <c r="H45" s="23"/>
      <c r="I45" s="23">
        <f>G45*0.1</f>
        <v>639</v>
      </c>
      <c r="J45" s="23"/>
      <c r="K45" s="23"/>
      <c r="L45" s="23"/>
      <c r="M45" s="23"/>
      <c r="N45" s="23"/>
      <c r="O45" s="23"/>
      <c r="P45" s="23">
        <f>8000*C45-G45</f>
        <v>9610</v>
      </c>
      <c r="Q45" s="23"/>
      <c r="R45" s="23">
        <f>SUM(G45:P45)</f>
        <v>16639</v>
      </c>
      <c r="S45" s="25">
        <f t="shared" si="13"/>
        <v>99834</v>
      </c>
    </row>
    <row r="46" spans="1:19" s="37" customFormat="1" ht="18" customHeight="1" thickBot="1" x14ac:dyDescent="0.3">
      <c r="A46" s="33"/>
      <c r="B46" s="47" t="s">
        <v>59</v>
      </c>
      <c r="C46" s="34">
        <f>SUM(C43:C45)</f>
        <v>4.5</v>
      </c>
      <c r="D46" s="34"/>
      <c r="E46" s="35">
        <f>SUM(E43:E45)</f>
        <v>16103.5</v>
      </c>
      <c r="F46" s="34"/>
      <c r="G46" s="35">
        <f>SUM(G43:G45)</f>
        <v>16103.5</v>
      </c>
      <c r="H46" s="35"/>
      <c r="I46" s="35">
        <f>SUM(I45:I45)</f>
        <v>639</v>
      </c>
      <c r="J46" s="35">
        <f>SUM(J44:J45)</f>
        <v>324.64</v>
      </c>
      <c r="K46" s="35"/>
      <c r="L46" s="35"/>
      <c r="M46" s="35"/>
      <c r="N46" s="35"/>
      <c r="O46" s="35"/>
      <c r="P46" s="35">
        <f>SUM(P43:P45)</f>
        <v>19896.5</v>
      </c>
      <c r="Q46" s="35"/>
      <c r="R46" s="35">
        <f>SUM(R43:R45)</f>
        <v>36963.64</v>
      </c>
      <c r="S46" s="36">
        <f>SUM(S43:S45)</f>
        <v>221781.84</v>
      </c>
    </row>
    <row r="47" spans="1:19" s="39" customFormat="1" ht="13.5" customHeight="1" x14ac:dyDescent="0.25">
      <c r="A47" s="98" t="s">
        <v>316</v>
      </c>
      <c r="B47" s="99" t="s">
        <v>85</v>
      </c>
      <c r="C47" s="100"/>
      <c r="D47" s="100"/>
      <c r="E47" s="101"/>
      <c r="F47" s="100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2"/>
    </row>
    <row r="48" spans="1:19" s="42" customFormat="1" x14ac:dyDescent="0.25">
      <c r="A48" s="43" t="s">
        <v>86</v>
      </c>
      <c r="B48" s="21" t="s">
        <v>87</v>
      </c>
      <c r="C48" s="22">
        <v>0.5</v>
      </c>
      <c r="D48" s="22">
        <v>10</v>
      </c>
      <c r="E48" s="23">
        <f>5815*C48</f>
        <v>2907.5</v>
      </c>
      <c r="F48" s="22"/>
      <c r="G48" s="23">
        <f>E48</f>
        <v>2907.5</v>
      </c>
      <c r="H48" s="23"/>
      <c r="I48" s="23"/>
      <c r="J48" s="40"/>
      <c r="K48" s="23">
        <f>G48*0.3</f>
        <v>872.25</v>
      </c>
      <c r="L48" s="41">
        <f>20000*C48-G48-K48</f>
        <v>6220.25</v>
      </c>
      <c r="M48" s="23"/>
      <c r="N48" s="23"/>
      <c r="O48" s="23"/>
      <c r="P48" s="23"/>
      <c r="Q48" s="23"/>
      <c r="R48" s="23">
        <f>G48+K48+L48</f>
        <v>10000</v>
      </c>
      <c r="S48" s="25">
        <f>R48*6</f>
        <v>60000</v>
      </c>
    </row>
    <row r="49" spans="1:20" s="42" customFormat="1" x14ac:dyDescent="0.25">
      <c r="A49" s="43" t="s">
        <v>88</v>
      </c>
      <c r="B49" s="21" t="s">
        <v>89</v>
      </c>
      <c r="C49" s="22">
        <v>3</v>
      </c>
      <c r="D49" s="22">
        <v>9</v>
      </c>
      <c r="E49" s="23">
        <f>5527*C49</f>
        <v>16581</v>
      </c>
      <c r="F49" s="22"/>
      <c r="G49" s="23">
        <f>E49</f>
        <v>16581</v>
      </c>
      <c r="H49" s="23"/>
      <c r="I49" s="23"/>
      <c r="J49" s="40"/>
      <c r="K49" s="23"/>
      <c r="L49" s="41">
        <f>15000*C49-G49-K49</f>
        <v>28419</v>
      </c>
      <c r="M49" s="23"/>
      <c r="N49" s="23"/>
      <c r="O49" s="23"/>
      <c r="P49" s="23"/>
      <c r="Q49" s="23"/>
      <c r="R49" s="23">
        <f>G49+K49+L49</f>
        <v>45000</v>
      </c>
      <c r="S49" s="25">
        <f t="shared" ref="S49:S53" si="14">R49*6</f>
        <v>270000</v>
      </c>
    </row>
    <row r="50" spans="1:20" s="42" customFormat="1" x14ac:dyDescent="0.25">
      <c r="A50" s="43" t="s">
        <v>90</v>
      </c>
      <c r="B50" s="21" t="s">
        <v>91</v>
      </c>
      <c r="C50" s="22">
        <v>1</v>
      </c>
      <c r="D50" s="22">
        <v>10</v>
      </c>
      <c r="E50" s="23">
        <v>5815</v>
      </c>
      <c r="F50" s="22"/>
      <c r="G50" s="23">
        <v>5815</v>
      </c>
      <c r="H50" s="23"/>
      <c r="I50" s="23"/>
      <c r="J50" s="40"/>
      <c r="K50" s="23">
        <f>G50*0.3</f>
        <v>1744.5</v>
      </c>
      <c r="L50" s="41">
        <f>13500-G50-K50</f>
        <v>5940.5</v>
      </c>
      <c r="M50" s="23"/>
      <c r="N50" s="23"/>
      <c r="O50" s="23"/>
      <c r="P50" s="23"/>
      <c r="Q50" s="23"/>
      <c r="R50" s="23">
        <f>G50+K50+L50</f>
        <v>13500</v>
      </c>
      <c r="S50" s="25">
        <f t="shared" si="14"/>
        <v>81000</v>
      </c>
    </row>
    <row r="51" spans="1:20" s="42" customFormat="1" x14ac:dyDescent="0.25">
      <c r="A51" s="43" t="s">
        <v>92</v>
      </c>
      <c r="B51" s="21" t="s">
        <v>93</v>
      </c>
      <c r="C51" s="22">
        <v>1</v>
      </c>
      <c r="D51" s="22">
        <v>4</v>
      </c>
      <c r="E51" s="23">
        <v>4058</v>
      </c>
      <c r="F51" s="22"/>
      <c r="G51" s="23">
        <v>4058</v>
      </c>
      <c r="H51" s="23"/>
      <c r="I51" s="23"/>
      <c r="J51" s="40"/>
      <c r="K51" s="23"/>
      <c r="L51" s="23"/>
      <c r="M51" s="23"/>
      <c r="N51" s="23"/>
      <c r="O51" s="23">
        <f>G51*200%</f>
        <v>8116</v>
      </c>
      <c r="P51" s="23"/>
      <c r="Q51" s="23"/>
      <c r="R51" s="23">
        <f>O51+G51</f>
        <v>12174</v>
      </c>
      <c r="S51" s="25">
        <f t="shared" si="14"/>
        <v>73044</v>
      </c>
    </row>
    <row r="52" spans="1:20" s="42" customFormat="1" x14ac:dyDescent="0.25">
      <c r="A52" s="43" t="s">
        <v>94</v>
      </c>
      <c r="B52" s="21" t="s">
        <v>95</v>
      </c>
      <c r="C52" s="22">
        <v>1</v>
      </c>
      <c r="D52" s="22">
        <v>5</v>
      </c>
      <c r="E52" s="23">
        <v>4345</v>
      </c>
      <c r="F52" s="23"/>
      <c r="G52" s="23">
        <f>E52+F52</f>
        <v>4345</v>
      </c>
      <c r="H52" s="23"/>
      <c r="I52" s="23"/>
      <c r="J52" s="23"/>
      <c r="K52" s="23"/>
      <c r="L52" s="23"/>
      <c r="M52" s="23"/>
      <c r="N52" s="23"/>
      <c r="O52" s="23"/>
      <c r="P52" s="23">
        <f>8000-G52</f>
        <v>3655</v>
      </c>
      <c r="Q52" s="32"/>
      <c r="R52" s="23">
        <f>G52+P52</f>
        <v>8000</v>
      </c>
      <c r="S52" s="25">
        <f t="shared" si="14"/>
        <v>48000</v>
      </c>
    </row>
    <row r="53" spans="1:20" x14ac:dyDescent="0.25">
      <c r="A53" s="43" t="s">
        <v>96</v>
      </c>
      <c r="B53" s="21" t="s">
        <v>97</v>
      </c>
      <c r="C53" s="22">
        <v>0.5</v>
      </c>
      <c r="D53" s="22">
        <v>9</v>
      </c>
      <c r="E53" s="23">
        <v>2763.5</v>
      </c>
      <c r="F53" s="22"/>
      <c r="G53" s="23">
        <f t="shared" ref="G53" si="15">E53+F53</f>
        <v>2763.5</v>
      </c>
      <c r="H53" s="23"/>
      <c r="I53" s="23"/>
      <c r="J53" s="23"/>
      <c r="K53" s="23">
        <f>G53*0.3</f>
        <v>829.05</v>
      </c>
      <c r="L53" s="23">
        <f>6750-G53-K53</f>
        <v>3157.45</v>
      </c>
      <c r="M53" s="23"/>
      <c r="N53" s="23"/>
      <c r="O53" s="23"/>
      <c r="P53" s="23"/>
      <c r="Q53" s="23"/>
      <c r="R53" s="23">
        <f>L53+K53+G53</f>
        <v>6750</v>
      </c>
      <c r="S53" s="25">
        <f t="shared" si="14"/>
        <v>40500</v>
      </c>
    </row>
    <row r="54" spans="1:20" s="45" customFormat="1" ht="13.8" customHeight="1" thickBot="1" x14ac:dyDescent="0.25">
      <c r="A54" s="103"/>
      <c r="B54" s="104" t="s">
        <v>59</v>
      </c>
      <c r="C54" s="105">
        <f>SUM(C48:C53)</f>
        <v>7</v>
      </c>
      <c r="D54" s="105"/>
      <c r="E54" s="106">
        <f>SUM(E48:E53)</f>
        <v>36470</v>
      </c>
      <c r="F54" s="105"/>
      <c r="G54" s="106">
        <f>SUM(G48:G53)</f>
        <v>36470</v>
      </c>
      <c r="H54" s="106"/>
      <c r="I54" s="106"/>
      <c r="J54" s="106"/>
      <c r="K54" s="106">
        <f>SUM(K48:K53)</f>
        <v>3445.8</v>
      </c>
      <c r="L54" s="106">
        <f>SUM(L48:L53)</f>
        <v>43737.2</v>
      </c>
      <c r="M54" s="106"/>
      <c r="N54" s="106"/>
      <c r="O54" s="106">
        <f>SUM(O48:O52)</f>
        <v>8116</v>
      </c>
      <c r="P54" s="106">
        <f>SUM(P48:P53)</f>
        <v>3655</v>
      </c>
      <c r="Q54" s="106"/>
      <c r="R54" s="106">
        <f>SUM(R48:R53)</f>
        <v>95424</v>
      </c>
      <c r="S54" s="107">
        <f>SUM(S48:S53)</f>
        <v>572544</v>
      </c>
    </row>
    <row r="55" spans="1:20" s="38" customFormat="1" ht="22.8" customHeight="1" x14ac:dyDescent="0.25">
      <c r="A55" s="108"/>
      <c r="B55" s="86" t="s">
        <v>98</v>
      </c>
      <c r="C55" s="85"/>
      <c r="D55" s="85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109"/>
      <c r="R55" s="94"/>
      <c r="S55" s="110"/>
      <c r="T55" s="46"/>
    </row>
    <row r="56" spans="1:20" s="38" customFormat="1" x14ac:dyDescent="0.25">
      <c r="A56" s="43" t="s">
        <v>99</v>
      </c>
      <c r="B56" s="21" t="s">
        <v>100</v>
      </c>
      <c r="C56" s="22">
        <v>0.25</v>
      </c>
      <c r="D56" s="22">
        <v>14</v>
      </c>
      <c r="E56" s="23">
        <f>7732*C56</f>
        <v>1933</v>
      </c>
      <c r="F56" s="23">
        <f>E56*10%</f>
        <v>193.3</v>
      </c>
      <c r="G56" s="23">
        <f>E56+F56</f>
        <v>2126.3000000000002</v>
      </c>
      <c r="H56" s="23"/>
      <c r="I56" s="23"/>
      <c r="J56" s="23"/>
      <c r="K56" s="23">
        <f>G56*0.3</f>
        <v>637.89</v>
      </c>
      <c r="L56" s="23">
        <f>20000*C56-G56-K56</f>
        <v>2235.81</v>
      </c>
      <c r="M56" s="23"/>
      <c r="N56" s="23"/>
      <c r="O56" s="23"/>
      <c r="P56" s="23"/>
      <c r="Q56" s="32"/>
      <c r="R56" s="23">
        <f>G56+K56+L56</f>
        <v>5000</v>
      </c>
      <c r="S56" s="25">
        <f>R56*6</f>
        <v>30000</v>
      </c>
      <c r="T56" s="46"/>
    </row>
    <row r="57" spans="1:20" s="38" customFormat="1" x14ac:dyDescent="0.25">
      <c r="A57" s="43" t="s">
        <v>101</v>
      </c>
      <c r="B57" s="21" t="s">
        <v>102</v>
      </c>
      <c r="C57" s="22">
        <v>0.5</v>
      </c>
      <c r="D57" s="22">
        <v>13</v>
      </c>
      <c r="E57" s="23">
        <v>3626</v>
      </c>
      <c r="F57" s="23">
        <f>E57*0.15</f>
        <v>543.9</v>
      </c>
      <c r="G57" s="23">
        <f>E57+F57</f>
        <v>4169.8999999999996</v>
      </c>
      <c r="H57" s="23"/>
      <c r="I57" s="23"/>
      <c r="J57" s="23"/>
      <c r="K57" s="23">
        <f>G57*0.3</f>
        <v>1250.9699999999998</v>
      </c>
      <c r="L57" s="23">
        <f>20000*C57-G57-K57</f>
        <v>4579.130000000001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ref="S57:S59" si="16">R57*6</f>
        <v>60000</v>
      </c>
      <c r="T57" s="46"/>
    </row>
    <row r="58" spans="1:20" s="38" customFormat="1" x14ac:dyDescent="0.25">
      <c r="A58" s="43" t="s">
        <v>103</v>
      </c>
      <c r="B58" s="21" t="s">
        <v>104</v>
      </c>
      <c r="C58" s="22">
        <v>0.5</v>
      </c>
      <c r="D58" s="22">
        <v>13</v>
      </c>
      <c r="E58" s="23">
        <v>3626</v>
      </c>
      <c r="F58" s="23">
        <f>E58*0.15</f>
        <v>543.9</v>
      </c>
      <c r="G58" s="23">
        <f>E58+F58</f>
        <v>4169.8999999999996</v>
      </c>
      <c r="H58" s="23"/>
      <c r="I58" s="23"/>
      <c r="J58" s="23"/>
      <c r="K58" s="23">
        <f>G58*0.3</f>
        <v>1250.9699999999998</v>
      </c>
      <c r="L58" s="23">
        <f>10000-G58-K58</f>
        <v>4579.130000000001</v>
      </c>
      <c r="M58" s="23"/>
      <c r="N58" s="23"/>
      <c r="O58" s="23"/>
      <c r="P58" s="23"/>
      <c r="Q58" s="32"/>
      <c r="R58" s="23">
        <f>G58+K58+L58</f>
        <v>10000</v>
      </c>
      <c r="S58" s="25">
        <f t="shared" si="16"/>
        <v>60000</v>
      </c>
      <c r="T58" s="46"/>
    </row>
    <row r="59" spans="1:20" s="38" customFormat="1" x14ac:dyDescent="0.25">
      <c r="A59" s="43" t="s">
        <v>105</v>
      </c>
      <c r="B59" s="21" t="s">
        <v>106</v>
      </c>
      <c r="C59" s="22">
        <v>1</v>
      </c>
      <c r="D59" s="22">
        <v>5</v>
      </c>
      <c r="E59" s="23">
        <v>4345</v>
      </c>
      <c r="F59" s="23"/>
      <c r="G59" s="23">
        <f>E59+F59</f>
        <v>4345</v>
      </c>
      <c r="H59" s="23"/>
      <c r="I59" s="23"/>
      <c r="J59" s="23"/>
      <c r="K59" s="23"/>
      <c r="L59" s="23"/>
      <c r="M59" s="23"/>
      <c r="N59" s="23"/>
      <c r="O59" s="23"/>
      <c r="P59" s="23">
        <f>8000-G59</f>
        <v>3655</v>
      </c>
      <c r="Q59" s="32"/>
      <c r="R59" s="23">
        <f>G59+P59</f>
        <v>8000</v>
      </c>
      <c r="S59" s="25">
        <f t="shared" si="16"/>
        <v>48000</v>
      </c>
      <c r="T59" s="46"/>
    </row>
    <row r="60" spans="1:20" s="49" customFormat="1" ht="20.399999999999999" customHeight="1" thickBot="1" x14ac:dyDescent="0.3">
      <c r="A60" s="64"/>
      <c r="B60" s="47" t="s">
        <v>59</v>
      </c>
      <c r="C60" s="34">
        <v>2.25</v>
      </c>
      <c r="D60" s="34"/>
      <c r="E60" s="35">
        <f>SUM(E56:E59)</f>
        <v>13530</v>
      </c>
      <c r="F60" s="35">
        <f t="shared" ref="F60" si="17">SUM(F56:F59)</f>
        <v>1281.0999999999999</v>
      </c>
      <c r="G60" s="35">
        <f>SUM(G56:G59)</f>
        <v>14811.099999999999</v>
      </c>
      <c r="H60" s="35"/>
      <c r="I60" s="35"/>
      <c r="J60" s="35"/>
      <c r="K60" s="35">
        <f t="shared" ref="K60:L60" si="18">SUM(K56:K59)</f>
        <v>3139.8299999999995</v>
      </c>
      <c r="L60" s="35">
        <f t="shared" si="18"/>
        <v>11394.070000000002</v>
      </c>
      <c r="M60" s="35"/>
      <c r="N60" s="35"/>
      <c r="O60" s="35"/>
      <c r="P60" s="35">
        <f t="shared" ref="P60:Q60" si="19">SUM(P56:P59)</f>
        <v>3655</v>
      </c>
      <c r="Q60" s="35">
        <f t="shared" si="19"/>
        <v>0</v>
      </c>
      <c r="R60" s="35">
        <f>SUM(G60:Q60)</f>
        <v>33000</v>
      </c>
      <c r="S60" s="36">
        <f>SUM(S56:S59)</f>
        <v>198000</v>
      </c>
      <c r="T60" s="48"/>
    </row>
    <row r="61" spans="1:20" ht="24" customHeight="1" x14ac:dyDescent="0.25">
      <c r="A61" s="18"/>
      <c r="B61" s="86" t="s">
        <v>107</v>
      </c>
      <c r="C61" s="86"/>
      <c r="D61" s="86"/>
      <c r="E61" s="92"/>
      <c r="F61" s="86"/>
      <c r="G61" s="94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3"/>
    </row>
    <row r="62" spans="1:20" s="13" customFormat="1" ht="38.4" customHeight="1" x14ac:dyDescent="0.2">
      <c r="A62" s="28"/>
      <c r="B62" s="29" t="s">
        <v>108</v>
      </c>
      <c r="C62" s="22"/>
      <c r="D62" s="22"/>
      <c r="E62" s="23"/>
      <c r="F62" s="22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5"/>
    </row>
    <row r="63" spans="1:20" ht="13.95" customHeight="1" x14ac:dyDescent="0.25">
      <c r="A63" s="20" t="s">
        <v>109</v>
      </c>
      <c r="B63" s="21" t="s">
        <v>110</v>
      </c>
      <c r="C63" s="22">
        <v>1</v>
      </c>
      <c r="D63" s="22">
        <v>11</v>
      </c>
      <c r="E63" s="23">
        <v>6294</v>
      </c>
      <c r="F63" s="22">
        <f>E63*0.25</f>
        <v>1573.5</v>
      </c>
      <c r="G63" s="23">
        <f t="shared" ref="G63:G126" si="20">E63+F63</f>
        <v>7867.5</v>
      </c>
      <c r="H63" s="23"/>
      <c r="I63" s="23"/>
      <c r="J63" s="23"/>
      <c r="K63" s="23">
        <f>G63*0.3</f>
        <v>2360.25</v>
      </c>
      <c r="L63" s="41">
        <f>20000-G63-K63</f>
        <v>9772.25</v>
      </c>
      <c r="M63" s="23"/>
      <c r="N63" s="23"/>
      <c r="O63" s="23"/>
      <c r="P63" s="23"/>
      <c r="Q63" s="23"/>
      <c r="R63" s="23">
        <f t="shared" ref="R63:R75" si="21">G63+K63+L63</f>
        <v>20000</v>
      </c>
      <c r="S63" s="25">
        <f>R63*6</f>
        <v>120000</v>
      </c>
    </row>
    <row r="64" spans="1:20" x14ac:dyDescent="0.25">
      <c r="A64" s="20" t="s">
        <v>111</v>
      </c>
      <c r="B64" s="21" t="s">
        <v>112</v>
      </c>
      <c r="C64" s="22">
        <v>1.25</v>
      </c>
      <c r="D64" s="22">
        <v>12</v>
      </c>
      <c r="E64" s="23">
        <f>6773*C64</f>
        <v>8466.25</v>
      </c>
      <c r="F64" s="22"/>
      <c r="G64" s="23">
        <f t="shared" si="20"/>
        <v>8466.25</v>
      </c>
      <c r="H64" s="23"/>
      <c r="I64" s="23"/>
      <c r="J64" s="23"/>
      <c r="K64" s="23">
        <f t="shared" ref="K64:K77" si="22">G64*0.3</f>
        <v>2539.875</v>
      </c>
      <c r="L64" s="23">
        <f>20000*C64-G64-K64</f>
        <v>13993.875</v>
      </c>
      <c r="M64" s="23"/>
      <c r="N64" s="23"/>
      <c r="O64" s="23"/>
      <c r="P64" s="23"/>
      <c r="Q64" s="23"/>
      <c r="R64" s="23">
        <f t="shared" si="21"/>
        <v>25000</v>
      </c>
      <c r="S64" s="25">
        <f t="shared" ref="S64:S80" si="23">R64*6</f>
        <v>150000</v>
      </c>
    </row>
    <row r="65" spans="1:20" x14ac:dyDescent="0.25">
      <c r="A65" s="20" t="s">
        <v>113</v>
      </c>
      <c r="B65" s="21" t="s">
        <v>114</v>
      </c>
      <c r="C65" s="22">
        <v>1</v>
      </c>
      <c r="D65" s="22">
        <v>14</v>
      </c>
      <c r="E65" s="23">
        <v>7732</v>
      </c>
      <c r="F65" s="22"/>
      <c r="G65" s="23">
        <f t="shared" si="20"/>
        <v>7732</v>
      </c>
      <c r="H65" s="23"/>
      <c r="I65" s="23"/>
      <c r="J65" s="23"/>
      <c r="K65" s="23">
        <f t="shared" si="22"/>
        <v>2319.6</v>
      </c>
      <c r="L65" s="41">
        <f>20000-G65-K65</f>
        <v>9948.4</v>
      </c>
      <c r="M65" s="23"/>
      <c r="N65" s="23"/>
      <c r="O65" s="23"/>
      <c r="P65" s="23"/>
      <c r="Q65" s="23"/>
      <c r="R65" s="23">
        <f t="shared" si="21"/>
        <v>20000</v>
      </c>
      <c r="S65" s="25">
        <f t="shared" si="23"/>
        <v>120000</v>
      </c>
    </row>
    <row r="66" spans="1:20" x14ac:dyDescent="0.25">
      <c r="A66" s="20" t="s">
        <v>115</v>
      </c>
      <c r="B66" s="21" t="s">
        <v>116</v>
      </c>
      <c r="C66" s="22">
        <v>0.5</v>
      </c>
      <c r="D66" s="22">
        <v>14</v>
      </c>
      <c r="E66" s="23">
        <v>3868</v>
      </c>
      <c r="F66" s="22"/>
      <c r="G66" s="23">
        <f t="shared" si="20"/>
        <v>3868</v>
      </c>
      <c r="H66" s="23"/>
      <c r="I66" s="23"/>
      <c r="J66" s="23"/>
      <c r="K66" s="23">
        <f t="shared" si="22"/>
        <v>1160.3999999999999</v>
      </c>
      <c r="L66" s="41">
        <f>20000/2-G66-K66</f>
        <v>4971.6000000000004</v>
      </c>
      <c r="M66" s="23"/>
      <c r="N66" s="23"/>
      <c r="O66" s="23"/>
      <c r="P66" s="23"/>
      <c r="Q66" s="23"/>
      <c r="R66" s="23">
        <f t="shared" si="21"/>
        <v>10000</v>
      </c>
      <c r="S66" s="25">
        <f t="shared" si="23"/>
        <v>60000</v>
      </c>
    </row>
    <row r="67" spans="1:20" x14ac:dyDescent="0.25">
      <c r="A67" s="20" t="s">
        <v>117</v>
      </c>
      <c r="B67" s="21" t="s">
        <v>118</v>
      </c>
      <c r="C67" s="22">
        <v>0.25</v>
      </c>
      <c r="D67" s="22">
        <v>14</v>
      </c>
      <c r="E67" s="23">
        <f>7732*C67</f>
        <v>1933</v>
      </c>
      <c r="F67" s="22"/>
      <c r="G67" s="23">
        <f t="shared" si="20"/>
        <v>1933</v>
      </c>
      <c r="H67" s="23"/>
      <c r="I67" s="23"/>
      <c r="J67" s="23"/>
      <c r="K67" s="23">
        <f t="shared" si="22"/>
        <v>579.9</v>
      </c>
      <c r="L67" s="41">
        <f>20000*C67-G67-K67</f>
        <v>2487.1</v>
      </c>
      <c r="M67" s="23"/>
      <c r="N67" s="23"/>
      <c r="O67" s="23"/>
      <c r="P67" s="23"/>
      <c r="Q67" s="23"/>
      <c r="R67" s="23">
        <f t="shared" si="21"/>
        <v>5000</v>
      </c>
      <c r="S67" s="25">
        <f t="shared" si="23"/>
        <v>30000</v>
      </c>
    </row>
    <row r="68" spans="1:20" x14ac:dyDescent="0.25">
      <c r="A68" s="20" t="s">
        <v>119</v>
      </c>
      <c r="B68" s="21" t="s">
        <v>120</v>
      </c>
      <c r="C68" s="22">
        <v>2.5</v>
      </c>
      <c r="D68" s="22">
        <v>13</v>
      </c>
      <c r="E68" s="23">
        <f>7253*C68</f>
        <v>18132.5</v>
      </c>
      <c r="F68" s="22"/>
      <c r="G68" s="23">
        <f t="shared" si="20"/>
        <v>18132.5</v>
      </c>
      <c r="H68" s="23"/>
      <c r="I68" s="23"/>
      <c r="J68" s="23"/>
      <c r="K68" s="23">
        <f t="shared" si="22"/>
        <v>5439.75</v>
      </c>
      <c r="L68" s="41">
        <f t="shared" ref="L68:L73" si="24">20000*C68-G68-K68-N68</f>
        <v>24229.85</v>
      </c>
      <c r="M68" s="23"/>
      <c r="N68" s="23">
        <f>879.16*C68</f>
        <v>2197.9</v>
      </c>
      <c r="O68" s="23"/>
      <c r="P68" s="23"/>
      <c r="Q68" s="23"/>
      <c r="R68" s="23">
        <f t="shared" ref="R68:R73" si="25">G68+K68+L68+N68</f>
        <v>50000</v>
      </c>
      <c r="S68" s="25">
        <f t="shared" si="23"/>
        <v>300000</v>
      </c>
    </row>
    <row r="69" spans="1:20" x14ac:dyDescent="0.25">
      <c r="A69" s="20" t="s">
        <v>119</v>
      </c>
      <c r="B69" s="21" t="s">
        <v>121</v>
      </c>
      <c r="C69" s="22">
        <v>0.5</v>
      </c>
      <c r="D69" s="22">
        <v>14</v>
      </c>
      <c r="E69" s="23">
        <f>7732*C69</f>
        <v>3866</v>
      </c>
      <c r="F69" s="22"/>
      <c r="G69" s="23">
        <f t="shared" si="20"/>
        <v>3866</v>
      </c>
      <c r="H69" s="23"/>
      <c r="I69" s="23"/>
      <c r="J69" s="23"/>
      <c r="K69" s="23">
        <f t="shared" si="22"/>
        <v>1159.8</v>
      </c>
      <c r="L69" s="41">
        <f t="shared" si="24"/>
        <v>4505.5999999999995</v>
      </c>
      <c r="M69" s="23"/>
      <c r="N69" s="23">
        <v>468.6</v>
      </c>
      <c r="O69" s="23"/>
      <c r="P69" s="23"/>
      <c r="Q69" s="23"/>
      <c r="R69" s="23">
        <f t="shared" si="25"/>
        <v>10000</v>
      </c>
      <c r="S69" s="25">
        <f t="shared" si="23"/>
        <v>60000</v>
      </c>
    </row>
    <row r="70" spans="1:20" x14ac:dyDescent="0.25">
      <c r="A70" s="20" t="s">
        <v>119</v>
      </c>
      <c r="B70" s="21" t="s">
        <v>122</v>
      </c>
      <c r="C70" s="22">
        <v>0.25</v>
      </c>
      <c r="D70" s="22">
        <v>14</v>
      </c>
      <c r="E70" s="23">
        <f>7732*C70</f>
        <v>1933</v>
      </c>
      <c r="F70" s="22"/>
      <c r="G70" s="23">
        <f t="shared" si="20"/>
        <v>1933</v>
      </c>
      <c r="H70" s="23"/>
      <c r="I70" s="23"/>
      <c r="J70" s="23"/>
      <c r="K70" s="23">
        <f t="shared" si="22"/>
        <v>579.9</v>
      </c>
      <c r="L70" s="41">
        <f t="shared" si="24"/>
        <v>2252.7999999999997</v>
      </c>
      <c r="M70" s="23"/>
      <c r="N70" s="23">
        <v>234.3</v>
      </c>
      <c r="O70" s="23"/>
      <c r="P70" s="23"/>
      <c r="Q70" s="23"/>
      <c r="R70" s="23">
        <f t="shared" si="25"/>
        <v>5000</v>
      </c>
      <c r="S70" s="25">
        <f t="shared" si="23"/>
        <v>30000</v>
      </c>
    </row>
    <row r="71" spans="1:20" x14ac:dyDescent="0.25">
      <c r="A71" s="20" t="s">
        <v>119</v>
      </c>
      <c r="B71" s="21" t="s">
        <v>123</v>
      </c>
      <c r="C71" s="22">
        <v>0.5</v>
      </c>
      <c r="D71" s="22">
        <v>14</v>
      </c>
      <c r="E71" s="23">
        <f>7732*C71</f>
        <v>3866</v>
      </c>
      <c r="F71" s="22"/>
      <c r="G71" s="23">
        <f t="shared" si="20"/>
        <v>3866</v>
      </c>
      <c r="H71" s="23"/>
      <c r="I71" s="23"/>
      <c r="J71" s="23"/>
      <c r="K71" s="23">
        <f t="shared" si="22"/>
        <v>1159.8</v>
      </c>
      <c r="L71" s="41">
        <f t="shared" si="24"/>
        <v>4739.8999999999996</v>
      </c>
      <c r="M71" s="23"/>
      <c r="N71" s="23">
        <v>234.3</v>
      </c>
      <c r="O71" s="23"/>
      <c r="P71" s="23"/>
      <c r="Q71" s="23"/>
      <c r="R71" s="23">
        <f t="shared" si="25"/>
        <v>10000</v>
      </c>
      <c r="S71" s="25">
        <f t="shared" si="23"/>
        <v>60000</v>
      </c>
    </row>
    <row r="72" spans="1:20" x14ac:dyDescent="0.25">
      <c r="A72" s="20" t="s">
        <v>119</v>
      </c>
      <c r="B72" s="21" t="s">
        <v>124</v>
      </c>
      <c r="C72" s="22">
        <v>1</v>
      </c>
      <c r="D72" s="22">
        <v>14</v>
      </c>
      <c r="E72" s="23">
        <f>7732*C72</f>
        <v>7732</v>
      </c>
      <c r="F72" s="22"/>
      <c r="G72" s="23">
        <f t="shared" si="20"/>
        <v>7732</v>
      </c>
      <c r="H72" s="23"/>
      <c r="I72" s="23"/>
      <c r="J72" s="23"/>
      <c r="K72" s="23">
        <f t="shared" si="22"/>
        <v>2319.6</v>
      </c>
      <c r="L72" s="41">
        <f t="shared" si="24"/>
        <v>9011.1999999999989</v>
      </c>
      <c r="M72" s="23"/>
      <c r="N72" s="23">
        <v>937.2</v>
      </c>
      <c r="O72" s="23"/>
      <c r="P72" s="23"/>
      <c r="Q72" s="23"/>
      <c r="R72" s="23">
        <f t="shared" si="25"/>
        <v>20000</v>
      </c>
      <c r="S72" s="25">
        <f t="shared" si="23"/>
        <v>120000</v>
      </c>
    </row>
    <row r="73" spans="1:20" x14ac:dyDescent="0.25">
      <c r="A73" s="20" t="s">
        <v>119</v>
      </c>
      <c r="B73" s="21" t="s">
        <v>125</v>
      </c>
      <c r="C73" s="22">
        <v>0.5</v>
      </c>
      <c r="D73" s="22">
        <v>13</v>
      </c>
      <c r="E73" s="23">
        <f>7253*C73</f>
        <v>3626.5</v>
      </c>
      <c r="F73" s="22"/>
      <c r="G73" s="23">
        <f t="shared" si="20"/>
        <v>3626.5</v>
      </c>
      <c r="H73" s="23"/>
      <c r="I73" s="23"/>
      <c r="J73" s="23"/>
      <c r="K73" s="23">
        <f t="shared" si="22"/>
        <v>1087.95</v>
      </c>
      <c r="L73" s="41">
        <f t="shared" si="24"/>
        <v>4845.97</v>
      </c>
      <c r="M73" s="23"/>
      <c r="N73" s="23">
        <f>879.16*C73</f>
        <v>439.58</v>
      </c>
      <c r="O73" s="23"/>
      <c r="P73" s="23"/>
      <c r="Q73" s="23"/>
      <c r="R73" s="23">
        <f t="shared" si="25"/>
        <v>10000</v>
      </c>
      <c r="S73" s="25">
        <f t="shared" si="23"/>
        <v>60000</v>
      </c>
    </row>
    <row r="74" spans="1:20" s="13" customFormat="1" x14ac:dyDescent="0.25">
      <c r="A74" s="20" t="s">
        <v>119</v>
      </c>
      <c r="B74" s="21" t="s">
        <v>126</v>
      </c>
      <c r="C74" s="22">
        <v>0.25</v>
      </c>
      <c r="D74" s="22">
        <v>14</v>
      </c>
      <c r="E74" s="23">
        <f>7732*C74</f>
        <v>1933</v>
      </c>
      <c r="F74" s="22"/>
      <c r="G74" s="23">
        <f>E74+F74</f>
        <v>1933</v>
      </c>
      <c r="H74" s="23"/>
      <c r="I74" s="23"/>
      <c r="J74" s="23"/>
      <c r="K74" s="23">
        <f t="shared" si="22"/>
        <v>579.9</v>
      </c>
      <c r="L74" s="23">
        <f>20000*C74-G74-K74</f>
        <v>2487.1</v>
      </c>
      <c r="M74" s="23"/>
      <c r="N74" s="23">
        <v>234.3</v>
      </c>
      <c r="O74" s="23"/>
      <c r="P74" s="23"/>
      <c r="Q74" s="23"/>
      <c r="R74" s="23">
        <f>G74+K74+L74</f>
        <v>5000</v>
      </c>
      <c r="S74" s="25">
        <f t="shared" si="23"/>
        <v>30000</v>
      </c>
      <c r="T74" s="52"/>
    </row>
    <row r="75" spans="1:20" x14ac:dyDescent="0.25">
      <c r="A75" s="20" t="s">
        <v>127</v>
      </c>
      <c r="B75" s="21" t="s">
        <v>128</v>
      </c>
      <c r="C75" s="22">
        <v>1</v>
      </c>
      <c r="D75" s="22">
        <v>9</v>
      </c>
      <c r="E75" s="23">
        <v>5527</v>
      </c>
      <c r="F75" s="22">
        <f>E75*0.1</f>
        <v>552.70000000000005</v>
      </c>
      <c r="G75" s="23">
        <f t="shared" si="20"/>
        <v>6079.7</v>
      </c>
      <c r="H75" s="23"/>
      <c r="I75" s="23"/>
      <c r="J75" s="23"/>
      <c r="K75" s="23">
        <f t="shared" si="22"/>
        <v>1823.9099999999999</v>
      </c>
      <c r="L75" s="41">
        <v>5596.39</v>
      </c>
      <c r="M75" s="23"/>
      <c r="N75" s="23"/>
      <c r="O75" s="23"/>
      <c r="P75" s="23"/>
      <c r="Q75" s="23"/>
      <c r="R75" s="23">
        <f t="shared" si="21"/>
        <v>13500</v>
      </c>
      <c r="S75" s="25">
        <f t="shared" si="23"/>
        <v>81000</v>
      </c>
    </row>
    <row r="76" spans="1:20" x14ac:dyDescent="0.25">
      <c r="A76" s="20" t="s">
        <v>129</v>
      </c>
      <c r="B76" s="21" t="s">
        <v>130</v>
      </c>
      <c r="C76" s="22">
        <v>10</v>
      </c>
      <c r="D76" s="22">
        <v>9</v>
      </c>
      <c r="E76" s="23">
        <f>5527*C76</f>
        <v>55270</v>
      </c>
      <c r="F76" s="22"/>
      <c r="G76" s="23">
        <f t="shared" si="20"/>
        <v>55270</v>
      </c>
      <c r="H76" s="23"/>
      <c r="I76" s="23">
        <f t="shared" ref="I76:I78" si="26">G76*0.1</f>
        <v>5527</v>
      </c>
      <c r="J76" s="23"/>
      <c r="K76" s="23">
        <f t="shared" si="22"/>
        <v>16581</v>
      </c>
      <c r="L76" s="41">
        <f>13500*C76-G76-I76-K76-N76</f>
        <v>50922.6</v>
      </c>
      <c r="M76" s="23"/>
      <c r="N76" s="23">
        <f>669.94*C76</f>
        <v>6699.4000000000005</v>
      </c>
      <c r="O76" s="23"/>
      <c r="P76" s="23"/>
      <c r="Q76" s="23"/>
      <c r="R76" s="23">
        <f>G76+I76+K76+L76+N76</f>
        <v>135000</v>
      </c>
      <c r="S76" s="25">
        <f t="shared" si="23"/>
        <v>810000</v>
      </c>
    </row>
    <row r="77" spans="1:20" x14ac:dyDescent="0.25">
      <c r="A77" s="20" t="s">
        <v>131</v>
      </c>
      <c r="B77" s="21" t="s">
        <v>132</v>
      </c>
      <c r="C77" s="22">
        <v>1</v>
      </c>
      <c r="D77" s="22">
        <v>6</v>
      </c>
      <c r="E77" s="23">
        <v>4633</v>
      </c>
      <c r="F77" s="22"/>
      <c r="G77" s="23">
        <f t="shared" si="20"/>
        <v>4633</v>
      </c>
      <c r="H77" s="23"/>
      <c r="I77" s="23">
        <f t="shared" si="26"/>
        <v>463.3</v>
      </c>
      <c r="J77" s="23"/>
      <c r="K77" s="23">
        <f t="shared" si="22"/>
        <v>1389.8999999999999</v>
      </c>
      <c r="L77" s="41">
        <f t="shared" ref="L77" si="27">13500-G77-I77-K77</f>
        <v>7013.8000000000011</v>
      </c>
      <c r="M77" s="23"/>
      <c r="N77" s="23"/>
      <c r="O77" s="23"/>
      <c r="P77" s="23"/>
      <c r="Q77" s="23"/>
      <c r="R77" s="23">
        <f t="shared" ref="R77" si="28">G77+I77+K77+L77</f>
        <v>13500</v>
      </c>
      <c r="S77" s="25">
        <f t="shared" si="23"/>
        <v>81000</v>
      </c>
    </row>
    <row r="78" spans="1:20" x14ac:dyDescent="0.25">
      <c r="A78" s="20" t="s">
        <v>133</v>
      </c>
      <c r="B78" s="21" t="s">
        <v>134</v>
      </c>
      <c r="C78" s="22">
        <v>6</v>
      </c>
      <c r="D78" s="22">
        <v>4</v>
      </c>
      <c r="E78" s="23">
        <f>4058*C78</f>
        <v>24348</v>
      </c>
      <c r="F78" s="22"/>
      <c r="G78" s="23">
        <f t="shared" si="20"/>
        <v>24348</v>
      </c>
      <c r="H78" s="23"/>
      <c r="I78" s="23">
        <f t="shared" si="26"/>
        <v>2434.8000000000002</v>
      </c>
      <c r="J78" s="23"/>
      <c r="K78" s="23"/>
      <c r="L78" s="23"/>
      <c r="M78" s="23"/>
      <c r="N78" s="23">
        <f>475.33*C78</f>
        <v>2851.98</v>
      </c>
      <c r="O78" s="23"/>
      <c r="P78" s="23">
        <f>8000*C78-G78</f>
        <v>23652</v>
      </c>
      <c r="Q78" s="23"/>
      <c r="R78" s="23">
        <f>E78+I78+P78+N78</f>
        <v>53286.780000000006</v>
      </c>
      <c r="S78" s="25">
        <f t="shared" si="23"/>
        <v>319720.68000000005</v>
      </c>
    </row>
    <row r="79" spans="1:20" x14ac:dyDescent="0.25">
      <c r="A79" s="20" t="s">
        <v>135</v>
      </c>
      <c r="B79" s="21" t="s">
        <v>136</v>
      </c>
      <c r="C79" s="22">
        <v>1</v>
      </c>
      <c r="D79" s="22">
        <v>3</v>
      </c>
      <c r="E79" s="23">
        <v>3770</v>
      </c>
      <c r="F79" s="22"/>
      <c r="G79" s="23">
        <f t="shared" si="20"/>
        <v>3770</v>
      </c>
      <c r="H79" s="23"/>
      <c r="I79" s="23"/>
      <c r="J79" s="23"/>
      <c r="K79" s="23"/>
      <c r="L79" s="23"/>
      <c r="M79" s="23"/>
      <c r="N79" s="23"/>
      <c r="O79" s="23"/>
      <c r="P79" s="23">
        <f t="shared" ref="P79:P80" si="29">8000-G79</f>
        <v>4230</v>
      </c>
      <c r="Q79" s="23"/>
      <c r="R79" s="23">
        <f>G79+P79</f>
        <v>8000</v>
      </c>
      <c r="S79" s="25">
        <f t="shared" si="23"/>
        <v>48000</v>
      </c>
      <c r="T79" s="53"/>
    </row>
    <row r="80" spans="1:20" x14ac:dyDescent="0.25">
      <c r="A80" s="20" t="s">
        <v>137</v>
      </c>
      <c r="B80" s="21" t="s">
        <v>138</v>
      </c>
      <c r="C80" s="22">
        <v>1</v>
      </c>
      <c r="D80" s="22">
        <v>4</v>
      </c>
      <c r="E80" s="23">
        <v>4058</v>
      </c>
      <c r="F80" s="22"/>
      <c r="G80" s="23">
        <f t="shared" si="20"/>
        <v>4058</v>
      </c>
      <c r="H80" s="23"/>
      <c r="I80" s="23"/>
      <c r="J80" s="23"/>
      <c r="K80" s="23"/>
      <c r="L80" s="23"/>
      <c r="M80" s="23"/>
      <c r="N80" s="23"/>
      <c r="O80" s="23"/>
      <c r="P80" s="23">
        <f t="shared" si="29"/>
        <v>3942</v>
      </c>
      <c r="Q80" s="23"/>
      <c r="R80" s="23">
        <f>G80+P80</f>
        <v>8000</v>
      </c>
      <c r="S80" s="25">
        <f t="shared" si="23"/>
        <v>48000</v>
      </c>
      <c r="T80" s="53"/>
    </row>
    <row r="81" spans="1:20" s="27" customFormat="1" ht="24.6" customHeight="1" thickBot="1" x14ac:dyDescent="0.3">
      <c r="A81" s="64"/>
      <c r="B81" s="47" t="s">
        <v>59</v>
      </c>
      <c r="C81" s="34">
        <f>SUM(C63:C80)</f>
        <v>29.5</v>
      </c>
      <c r="D81" s="34"/>
      <c r="E81" s="35">
        <f>SUM(E63:E80)</f>
        <v>166988.25</v>
      </c>
      <c r="F81" s="34">
        <f>SUM(F63:F80)</f>
        <v>2126.1999999999998</v>
      </c>
      <c r="G81" s="35">
        <f>SUM(G63:G80)</f>
        <v>169114.45</v>
      </c>
      <c r="H81" s="35"/>
      <c r="I81" s="35">
        <f>SUM(I63:I80)</f>
        <v>8425.1</v>
      </c>
      <c r="J81" s="35"/>
      <c r="K81" s="35">
        <f>SUM(K63:K80)</f>
        <v>41081.534999999996</v>
      </c>
      <c r="L81" s="35">
        <f>SUM(L63:L80)</f>
        <v>156778.435</v>
      </c>
      <c r="M81" s="35"/>
      <c r="N81" s="35">
        <f>SUM(N68:N80)</f>
        <v>14297.560000000001</v>
      </c>
      <c r="O81" s="35"/>
      <c r="P81" s="35">
        <f>SUM(P63:P80)</f>
        <v>31824</v>
      </c>
      <c r="Q81" s="35"/>
      <c r="R81" s="35">
        <f>SUM(R63:R80)</f>
        <v>421286.78</v>
      </c>
      <c r="S81" s="36">
        <f>SUM(S63:S80)</f>
        <v>2527720.6800000002</v>
      </c>
      <c r="T81" s="54"/>
    </row>
    <row r="82" spans="1:20" s="13" customFormat="1" ht="27.6" customHeight="1" x14ac:dyDescent="0.2">
      <c r="A82" s="18"/>
      <c r="B82" s="55" t="s">
        <v>139</v>
      </c>
      <c r="C82" s="85"/>
      <c r="D82" s="85"/>
      <c r="E82" s="94"/>
      <c r="F82" s="85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110"/>
      <c r="T82" s="52"/>
    </row>
    <row r="83" spans="1:20" s="13" customFormat="1" x14ac:dyDescent="0.25">
      <c r="A83" s="20" t="s">
        <v>140</v>
      </c>
      <c r="B83" s="21" t="s">
        <v>100</v>
      </c>
      <c r="C83" s="22">
        <v>1</v>
      </c>
      <c r="D83" s="22">
        <v>12</v>
      </c>
      <c r="E83" s="23">
        <v>6773</v>
      </c>
      <c r="F83" s="22">
        <f>E83*0.25</f>
        <v>1693.25</v>
      </c>
      <c r="G83" s="23">
        <f t="shared" ref="G83:G110" si="30">E83+F83</f>
        <v>8466.25</v>
      </c>
      <c r="H83" s="23"/>
      <c r="I83" s="23"/>
      <c r="J83" s="23"/>
      <c r="K83" s="23">
        <f>G83*0.3</f>
        <v>2539.875</v>
      </c>
      <c r="L83" s="23">
        <f t="shared" ref="L83" si="31">20000-G83-K83</f>
        <v>8993.875</v>
      </c>
      <c r="M83" s="23"/>
      <c r="N83" s="23"/>
      <c r="O83" s="23"/>
      <c r="P83" s="23"/>
      <c r="Q83" s="23"/>
      <c r="R83" s="23">
        <f t="shared" ref="R83:R85" si="32">G83+K83+L83</f>
        <v>20000</v>
      </c>
      <c r="S83" s="25">
        <f>R83*6</f>
        <v>120000</v>
      </c>
      <c r="T83" s="52"/>
    </row>
    <row r="84" spans="1:20" s="13" customFormat="1" x14ac:dyDescent="0.25">
      <c r="A84" s="20" t="s">
        <v>141</v>
      </c>
      <c r="B84" s="21" t="s">
        <v>142</v>
      </c>
      <c r="C84" s="22">
        <v>1.5</v>
      </c>
      <c r="D84" s="22">
        <v>14</v>
      </c>
      <c r="E84" s="23">
        <v>11598</v>
      </c>
      <c r="F84" s="22"/>
      <c r="G84" s="23">
        <f t="shared" si="30"/>
        <v>11598</v>
      </c>
      <c r="H84" s="23"/>
      <c r="I84" s="23"/>
      <c r="J84" s="23"/>
      <c r="K84" s="23">
        <f t="shared" ref="K84:K108" si="33">G84*0.3</f>
        <v>3479.4</v>
      </c>
      <c r="L84" s="23">
        <f>30000-G84-K84</f>
        <v>14922.6</v>
      </c>
      <c r="M84" s="23"/>
      <c r="N84" s="23"/>
      <c r="O84" s="23"/>
      <c r="P84" s="23"/>
      <c r="Q84" s="23"/>
      <c r="R84" s="23">
        <f t="shared" si="32"/>
        <v>30000</v>
      </c>
      <c r="S84" s="25">
        <f t="shared" ref="S84:S110" si="34">R84*6</f>
        <v>180000</v>
      </c>
      <c r="T84" s="52"/>
    </row>
    <row r="85" spans="1:20" s="13" customFormat="1" x14ac:dyDescent="0.25">
      <c r="A85" s="20" t="s">
        <v>143</v>
      </c>
      <c r="B85" s="21" t="s">
        <v>144</v>
      </c>
      <c r="C85" s="22">
        <v>1</v>
      </c>
      <c r="D85" s="22">
        <v>12</v>
      </c>
      <c r="E85" s="23">
        <v>6773</v>
      </c>
      <c r="F85" s="23">
        <f>E85*0.15</f>
        <v>1015.9499999999999</v>
      </c>
      <c r="G85" s="23">
        <f t="shared" si="30"/>
        <v>7788.95</v>
      </c>
      <c r="H85" s="23"/>
      <c r="I85" s="23"/>
      <c r="J85" s="23"/>
      <c r="K85" s="23">
        <f t="shared" si="33"/>
        <v>2336.6849999999999</v>
      </c>
      <c r="L85" s="23">
        <f t="shared" ref="L85" si="35">20000-G85-K85</f>
        <v>9874.3649999999998</v>
      </c>
      <c r="M85" s="23"/>
      <c r="N85" s="23"/>
      <c r="O85" s="23"/>
      <c r="P85" s="23"/>
      <c r="Q85" s="23"/>
      <c r="R85" s="23">
        <f t="shared" si="32"/>
        <v>20000</v>
      </c>
      <c r="S85" s="25">
        <f t="shared" si="34"/>
        <v>120000</v>
      </c>
      <c r="T85" s="52"/>
    </row>
    <row r="86" spans="1:20" s="13" customFormat="1" x14ac:dyDescent="0.25">
      <c r="A86" s="20" t="s">
        <v>145</v>
      </c>
      <c r="B86" s="21" t="s">
        <v>146</v>
      </c>
      <c r="C86" s="22">
        <v>1</v>
      </c>
      <c r="D86" s="22">
        <v>11</v>
      </c>
      <c r="E86" s="23">
        <v>6294</v>
      </c>
      <c r="F86" s="22"/>
      <c r="G86" s="23">
        <f t="shared" si="30"/>
        <v>6294</v>
      </c>
      <c r="H86" s="23"/>
      <c r="I86" s="23"/>
      <c r="J86" s="23"/>
      <c r="K86" s="23">
        <f t="shared" si="33"/>
        <v>1888.1999999999998</v>
      </c>
      <c r="L86" s="23">
        <f>20000-G86-K86</f>
        <v>11817.8</v>
      </c>
      <c r="M86" s="23"/>
      <c r="N86" s="23"/>
      <c r="O86" s="23"/>
      <c r="P86" s="23"/>
      <c r="Q86" s="23"/>
      <c r="R86" s="23">
        <f>G86+K86+L86</f>
        <v>20000</v>
      </c>
      <c r="S86" s="25">
        <f t="shared" si="34"/>
        <v>120000</v>
      </c>
      <c r="T86" s="52"/>
    </row>
    <row r="87" spans="1:20" s="13" customFormat="1" x14ac:dyDescent="0.25">
      <c r="A87" s="20" t="s">
        <v>147</v>
      </c>
      <c r="B87" s="21" t="s">
        <v>148</v>
      </c>
      <c r="C87" s="22">
        <v>1.5</v>
      </c>
      <c r="D87" s="22">
        <v>11</v>
      </c>
      <c r="E87" s="23">
        <v>6294</v>
      </c>
      <c r="F87" s="22"/>
      <c r="G87" s="23">
        <f t="shared" si="30"/>
        <v>6294</v>
      </c>
      <c r="H87" s="23"/>
      <c r="I87" s="23"/>
      <c r="J87" s="23"/>
      <c r="K87" s="23">
        <f t="shared" si="33"/>
        <v>1888.1999999999998</v>
      </c>
      <c r="L87" s="23">
        <f t="shared" ref="L87" si="36">20000-G87-K87</f>
        <v>11817.8</v>
      </c>
      <c r="M87" s="23"/>
      <c r="N87" s="23"/>
      <c r="O87" s="23"/>
      <c r="P87" s="23"/>
      <c r="Q87" s="23"/>
      <c r="R87" s="23">
        <f t="shared" ref="R87:R102" si="37">G87+K87+L87</f>
        <v>20000</v>
      </c>
      <c r="S87" s="25">
        <f t="shared" si="34"/>
        <v>120000</v>
      </c>
      <c r="T87" s="52"/>
    </row>
    <row r="88" spans="1:20" s="13" customFormat="1" x14ac:dyDescent="0.25">
      <c r="A88" s="20" t="s">
        <v>149</v>
      </c>
      <c r="B88" s="21" t="s">
        <v>150</v>
      </c>
      <c r="C88" s="22">
        <v>0.5</v>
      </c>
      <c r="D88" s="22">
        <v>14</v>
      </c>
      <c r="E88" s="23">
        <f>7732*C88</f>
        <v>3866</v>
      </c>
      <c r="F88" s="22"/>
      <c r="G88" s="23">
        <f t="shared" si="30"/>
        <v>3866</v>
      </c>
      <c r="H88" s="23"/>
      <c r="I88" s="23"/>
      <c r="J88" s="23"/>
      <c r="K88" s="23">
        <f t="shared" si="33"/>
        <v>1159.8</v>
      </c>
      <c r="L88" s="23">
        <f>20000*C88-G88-K88</f>
        <v>4974.2</v>
      </c>
      <c r="M88" s="23"/>
      <c r="N88" s="23"/>
      <c r="O88" s="23"/>
      <c r="P88" s="23"/>
      <c r="Q88" s="23"/>
      <c r="R88" s="23">
        <f t="shared" si="37"/>
        <v>10000</v>
      </c>
      <c r="S88" s="25">
        <f t="shared" si="34"/>
        <v>60000</v>
      </c>
      <c r="T88" s="52"/>
    </row>
    <row r="89" spans="1:20" s="13" customFormat="1" x14ac:dyDescent="0.25">
      <c r="A89" s="20" t="s">
        <v>151</v>
      </c>
      <c r="B89" s="21" t="s">
        <v>104</v>
      </c>
      <c r="C89" s="22">
        <v>0.5</v>
      </c>
      <c r="D89" s="22">
        <v>11</v>
      </c>
      <c r="E89" s="23">
        <v>3147</v>
      </c>
      <c r="F89" s="23">
        <f>E89*0.15</f>
        <v>472.04999999999995</v>
      </c>
      <c r="G89" s="23">
        <f t="shared" si="30"/>
        <v>3619.05</v>
      </c>
      <c r="H89" s="23"/>
      <c r="I89" s="23"/>
      <c r="J89" s="23"/>
      <c r="K89" s="23">
        <f t="shared" si="33"/>
        <v>1085.7149999999999</v>
      </c>
      <c r="L89" s="23">
        <f>20000/2-G89-K89</f>
        <v>5295.2349999999997</v>
      </c>
      <c r="M89" s="23"/>
      <c r="N89" s="23"/>
      <c r="O89" s="23"/>
      <c r="P89" s="23"/>
      <c r="Q89" s="23"/>
      <c r="R89" s="23">
        <f t="shared" si="37"/>
        <v>10000</v>
      </c>
      <c r="S89" s="25">
        <f t="shared" si="34"/>
        <v>60000</v>
      </c>
      <c r="T89" s="52"/>
    </row>
    <row r="90" spans="1:20" s="13" customFormat="1" x14ac:dyDescent="0.25">
      <c r="A90" s="20" t="s">
        <v>152</v>
      </c>
      <c r="B90" s="21" t="s">
        <v>153</v>
      </c>
      <c r="C90" s="22">
        <v>2</v>
      </c>
      <c r="D90" s="22">
        <v>14</v>
      </c>
      <c r="E90" s="23">
        <f>7732*C90</f>
        <v>15464</v>
      </c>
      <c r="F90" s="23">
        <f>E90*0.15</f>
        <v>2319.6</v>
      </c>
      <c r="G90" s="23">
        <f t="shared" si="30"/>
        <v>17783.599999999999</v>
      </c>
      <c r="H90" s="23"/>
      <c r="I90" s="23"/>
      <c r="J90" s="23"/>
      <c r="K90" s="23">
        <f t="shared" si="33"/>
        <v>5335.079999999999</v>
      </c>
      <c r="L90" s="23">
        <f>20000*C90-G90-K90</f>
        <v>16881.320000000003</v>
      </c>
      <c r="M90" s="23"/>
      <c r="N90" s="23"/>
      <c r="O90" s="23"/>
      <c r="P90" s="23"/>
      <c r="Q90" s="23"/>
      <c r="R90" s="23">
        <f t="shared" si="37"/>
        <v>40000</v>
      </c>
      <c r="S90" s="25">
        <f t="shared" si="34"/>
        <v>240000</v>
      </c>
      <c r="T90" s="52"/>
    </row>
    <row r="91" spans="1:20" s="13" customFormat="1" x14ac:dyDescent="0.25">
      <c r="A91" s="20" t="s">
        <v>154</v>
      </c>
      <c r="B91" s="21" t="s">
        <v>155</v>
      </c>
      <c r="C91" s="22">
        <v>0.75</v>
      </c>
      <c r="D91" s="22">
        <v>13</v>
      </c>
      <c r="E91" s="23">
        <f>7253*C91</f>
        <v>5439.75</v>
      </c>
      <c r="F91" s="22"/>
      <c r="G91" s="23">
        <f t="shared" si="30"/>
        <v>5439.75</v>
      </c>
      <c r="H91" s="23"/>
      <c r="I91" s="23"/>
      <c r="J91" s="23"/>
      <c r="K91" s="23">
        <f t="shared" si="33"/>
        <v>1631.925</v>
      </c>
      <c r="L91" s="23">
        <f>20000-G91-K91</f>
        <v>12928.325000000001</v>
      </c>
      <c r="M91" s="23"/>
      <c r="N91" s="23"/>
      <c r="O91" s="23"/>
      <c r="P91" s="23"/>
      <c r="Q91" s="23"/>
      <c r="R91" s="23">
        <f t="shared" si="37"/>
        <v>20000</v>
      </c>
      <c r="S91" s="25">
        <f t="shared" si="34"/>
        <v>120000</v>
      </c>
      <c r="T91" s="52"/>
    </row>
    <row r="92" spans="1:20" x14ac:dyDescent="0.25">
      <c r="A92" s="20" t="s">
        <v>156</v>
      </c>
      <c r="B92" s="21" t="s">
        <v>157</v>
      </c>
      <c r="C92" s="22">
        <v>0.25</v>
      </c>
      <c r="D92" s="22">
        <v>14</v>
      </c>
      <c r="E92" s="23">
        <f>7732*C92</f>
        <v>1933</v>
      </c>
      <c r="F92" s="23">
        <f>E92*0.15</f>
        <v>289.95</v>
      </c>
      <c r="G92" s="23">
        <f t="shared" si="30"/>
        <v>2222.9499999999998</v>
      </c>
      <c r="H92" s="23"/>
      <c r="I92" s="23"/>
      <c r="J92" s="23"/>
      <c r="K92" s="23">
        <f t="shared" si="33"/>
        <v>666.88499999999988</v>
      </c>
      <c r="L92" s="23">
        <f>20000-G92-K92</f>
        <v>17110.165000000001</v>
      </c>
      <c r="M92" s="23"/>
      <c r="N92" s="23"/>
      <c r="O92" s="23"/>
      <c r="P92" s="23"/>
      <c r="Q92" s="23"/>
      <c r="R92" s="23">
        <f t="shared" si="37"/>
        <v>20000</v>
      </c>
      <c r="S92" s="25">
        <f t="shared" si="34"/>
        <v>120000</v>
      </c>
      <c r="T92" s="53"/>
    </row>
    <row r="93" spans="1:20" s="13" customFormat="1" x14ac:dyDescent="0.25">
      <c r="A93" s="20" t="s">
        <v>119</v>
      </c>
      <c r="B93" s="21" t="s">
        <v>158</v>
      </c>
      <c r="C93" s="22">
        <v>0.25</v>
      </c>
      <c r="D93" s="22">
        <v>14</v>
      </c>
      <c r="E93" s="23">
        <f>7732*C93</f>
        <v>1933</v>
      </c>
      <c r="F93" s="22"/>
      <c r="G93" s="23">
        <f>E93+F93</f>
        <v>1933</v>
      </c>
      <c r="H93" s="23"/>
      <c r="I93" s="23"/>
      <c r="J93" s="23"/>
      <c r="K93" s="23">
        <f t="shared" si="33"/>
        <v>579.9</v>
      </c>
      <c r="L93" s="23">
        <f>20000*C93-G93-K93</f>
        <v>2487.1</v>
      </c>
      <c r="M93" s="23"/>
      <c r="N93" s="23"/>
      <c r="O93" s="23"/>
      <c r="P93" s="23"/>
      <c r="Q93" s="23"/>
      <c r="R93" s="23">
        <f>G93+K93+L93</f>
        <v>5000</v>
      </c>
      <c r="S93" s="25">
        <f t="shared" si="34"/>
        <v>30000</v>
      </c>
      <c r="T93" s="52"/>
    </row>
    <row r="94" spans="1:20" s="13" customFormat="1" x14ac:dyDescent="0.25">
      <c r="A94" s="20" t="s">
        <v>159</v>
      </c>
      <c r="B94" s="21" t="s">
        <v>160</v>
      </c>
      <c r="C94" s="22">
        <v>0.5</v>
      </c>
      <c r="D94" s="22">
        <v>14</v>
      </c>
      <c r="E94" s="23">
        <v>3866</v>
      </c>
      <c r="F94" s="22"/>
      <c r="G94" s="23">
        <f t="shared" si="30"/>
        <v>3866</v>
      </c>
      <c r="H94" s="23"/>
      <c r="I94" s="23"/>
      <c r="J94" s="23"/>
      <c r="K94" s="23">
        <f t="shared" si="33"/>
        <v>1159.8</v>
      </c>
      <c r="L94" s="23">
        <f>20000/2-G94-K94</f>
        <v>4974.2</v>
      </c>
      <c r="M94" s="23"/>
      <c r="N94" s="23"/>
      <c r="O94" s="23"/>
      <c r="P94" s="23"/>
      <c r="Q94" s="23"/>
      <c r="R94" s="23">
        <f t="shared" si="37"/>
        <v>10000</v>
      </c>
      <c r="S94" s="25">
        <f t="shared" si="34"/>
        <v>60000</v>
      </c>
      <c r="T94" s="52"/>
    </row>
    <row r="95" spans="1:20" s="13" customFormat="1" x14ac:dyDescent="0.25">
      <c r="A95" s="20" t="s">
        <v>161</v>
      </c>
      <c r="B95" s="21" t="s">
        <v>162</v>
      </c>
      <c r="C95" s="22">
        <v>0.5</v>
      </c>
      <c r="D95" s="22">
        <v>11</v>
      </c>
      <c r="E95" s="23">
        <v>3147</v>
      </c>
      <c r="F95" s="22"/>
      <c r="G95" s="23">
        <f t="shared" si="30"/>
        <v>3147</v>
      </c>
      <c r="H95" s="23"/>
      <c r="I95" s="23"/>
      <c r="J95" s="23"/>
      <c r="K95" s="23">
        <f t="shared" si="33"/>
        <v>944.09999999999991</v>
      </c>
      <c r="L95" s="23">
        <f>20000/2-G95-K95</f>
        <v>5908.9</v>
      </c>
      <c r="M95" s="23"/>
      <c r="N95" s="23"/>
      <c r="O95" s="23"/>
      <c r="P95" s="23"/>
      <c r="Q95" s="23"/>
      <c r="R95" s="23">
        <f t="shared" si="37"/>
        <v>10000</v>
      </c>
      <c r="S95" s="25">
        <f t="shared" si="34"/>
        <v>60000</v>
      </c>
      <c r="T95" s="52"/>
    </row>
    <row r="96" spans="1:20" s="56" customFormat="1" x14ac:dyDescent="0.25">
      <c r="A96" s="20" t="s">
        <v>163</v>
      </c>
      <c r="B96" s="21" t="s">
        <v>164</v>
      </c>
      <c r="C96" s="22">
        <v>0.5</v>
      </c>
      <c r="D96" s="22">
        <v>14</v>
      </c>
      <c r="E96" s="23">
        <v>3866</v>
      </c>
      <c r="F96" s="22"/>
      <c r="G96" s="23">
        <f t="shared" si="30"/>
        <v>3866</v>
      </c>
      <c r="H96" s="23"/>
      <c r="I96" s="23"/>
      <c r="J96" s="23"/>
      <c r="K96" s="23">
        <f t="shared" si="33"/>
        <v>1159.8</v>
      </c>
      <c r="L96" s="23">
        <f>20000/2-G96-K96</f>
        <v>4974.2</v>
      </c>
      <c r="M96" s="23"/>
      <c r="N96" s="23"/>
      <c r="O96" s="23"/>
      <c r="P96" s="23"/>
      <c r="Q96" s="23"/>
      <c r="R96" s="23">
        <f t="shared" si="37"/>
        <v>10000</v>
      </c>
      <c r="S96" s="25">
        <f t="shared" si="34"/>
        <v>60000</v>
      </c>
    </row>
    <row r="97" spans="1:20" s="56" customFormat="1" x14ac:dyDescent="0.25">
      <c r="A97" s="20" t="s">
        <v>163</v>
      </c>
      <c r="B97" s="21" t="s">
        <v>332</v>
      </c>
      <c r="C97" s="22">
        <v>0.5</v>
      </c>
      <c r="D97" s="22">
        <v>14</v>
      </c>
      <c r="E97" s="23">
        <v>3866</v>
      </c>
      <c r="F97" s="22"/>
      <c r="G97" s="23">
        <f t="shared" si="30"/>
        <v>3866</v>
      </c>
      <c r="H97" s="23"/>
      <c r="I97" s="23"/>
      <c r="J97" s="23"/>
      <c r="K97" s="23">
        <f t="shared" si="33"/>
        <v>1159.8</v>
      </c>
      <c r="L97" s="23">
        <f>20000/2-G97-K97</f>
        <v>4974.2</v>
      </c>
      <c r="M97" s="23"/>
      <c r="N97" s="23"/>
      <c r="O97" s="23"/>
      <c r="P97" s="23"/>
      <c r="Q97" s="23"/>
      <c r="R97" s="23">
        <f t="shared" si="37"/>
        <v>10000</v>
      </c>
      <c r="S97" s="25">
        <f t="shared" si="34"/>
        <v>60000</v>
      </c>
    </row>
    <row r="98" spans="1:20" s="13" customFormat="1" x14ac:dyDescent="0.25">
      <c r="A98" s="20" t="s">
        <v>165</v>
      </c>
      <c r="B98" s="21" t="s">
        <v>166</v>
      </c>
      <c r="C98" s="22">
        <v>1</v>
      </c>
      <c r="D98" s="22">
        <v>14</v>
      </c>
      <c r="E98" s="23">
        <v>7732</v>
      </c>
      <c r="F98" s="22"/>
      <c r="G98" s="23">
        <f t="shared" si="30"/>
        <v>7732</v>
      </c>
      <c r="H98" s="23"/>
      <c r="I98" s="23"/>
      <c r="J98" s="23"/>
      <c r="K98" s="23">
        <f t="shared" si="33"/>
        <v>2319.6</v>
      </c>
      <c r="L98" s="23">
        <f t="shared" ref="L98" si="38">20000-G98-K98</f>
        <v>9948.4</v>
      </c>
      <c r="M98" s="23"/>
      <c r="N98" s="23"/>
      <c r="O98" s="23"/>
      <c r="P98" s="23"/>
      <c r="Q98" s="23"/>
      <c r="R98" s="23">
        <f t="shared" si="37"/>
        <v>20000</v>
      </c>
      <c r="S98" s="25">
        <f t="shared" si="34"/>
        <v>120000</v>
      </c>
      <c r="T98" s="52"/>
    </row>
    <row r="99" spans="1:20" x14ac:dyDescent="0.25">
      <c r="A99" s="20" t="s">
        <v>167</v>
      </c>
      <c r="B99" s="21" t="s">
        <v>112</v>
      </c>
      <c r="C99" s="22">
        <v>0.5</v>
      </c>
      <c r="D99" s="22">
        <v>10</v>
      </c>
      <c r="E99" s="23">
        <v>2907.5</v>
      </c>
      <c r="F99" s="22"/>
      <c r="G99" s="23">
        <f t="shared" si="30"/>
        <v>2907.5</v>
      </c>
      <c r="H99" s="23"/>
      <c r="I99" s="23"/>
      <c r="J99" s="23"/>
      <c r="K99" s="23">
        <f t="shared" si="33"/>
        <v>872.25</v>
      </c>
      <c r="L99" s="23">
        <f>20000/2-G99-K99</f>
        <v>6220.25</v>
      </c>
      <c r="M99" s="23"/>
      <c r="N99" s="23"/>
      <c r="O99" s="23"/>
      <c r="P99" s="23"/>
      <c r="Q99" s="23"/>
      <c r="R99" s="23">
        <f t="shared" si="37"/>
        <v>10000</v>
      </c>
      <c r="S99" s="25">
        <f t="shared" si="34"/>
        <v>60000</v>
      </c>
      <c r="T99" s="53"/>
    </row>
    <row r="100" spans="1:20" s="13" customFormat="1" x14ac:dyDescent="0.25">
      <c r="A100" s="20" t="s">
        <v>168</v>
      </c>
      <c r="B100" s="21" t="s">
        <v>169</v>
      </c>
      <c r="C100" s="22">
        <v>1.5</v>
      </c>
      <c r="D100" s="22">
        <v>14</v>
      </c>
      <c r="E100" s="23">
        <f>7732*C100</f>
        <v>11598</v>
      </c>
      <c r="F100" s="22"/>
      <c r="G100" s="23">
        <f t="shared" si="30"/>
        <v>11598</v>
      </c>
      <c r="H100" s="23"/>
      <c r="I100" s="23"/>
      <c r="J100" s="23"/>
      <c r="K100" s="23">
        <f t="shared" si="33"/>
        <v>3479.4</v>
      </c>
      <c r="L100" s="23">
        <f>20000*C100-G100-K100</f>
        <v>14922.6</v>
      </c>
      <c r="M100" s="23"/>
      <c r="N100" s="23"/>
      <c r="O100" s="23"/>
      <c r="P100" s="23"/>
      <c r="Q100" s="23"/>
      <c r="R100" s="23">
        <f t="shared" si="37"/>
        <v>30000</v>
      </c>
      <c r="S100" s="25">
        <f t="shared" si="34"/>
        <v>180000</v>
      </c>
      <c r="T100" s="52"/>
    </row>
    <row r="101" spans="1:20" x14ac:dyDescent="0.25">
      <c r="A101" s="20" t="s">
        <v>170</v>
      </c>
      <c r="B101" s="21" t="s">
        <v>171</v>
      </c>
      <c r="C101" s="22">
        <v>0.5</v>
      </c>
      <c r="D101" s="22">
        <v>13</v>
      </c>
      <c r="E101" s="23">
        <f>7523*C101</f>
        <v>3761.5</v>
      </c>
      <c r="F101" s="22"/>
      <c r="G101" s="23">
        <f t="shared" si="30"/>
        <v>3761.5</v>
      </c>
      <c r="H101" s="23"/>
      <c r="I101" s="23"/>
      <c r="J101" s="23"/>
      <c r="K101" s="23">
        <f t="shared" si="33"/>
        <v>1128.45</v>
      </c>
      <c r="L101" s="23">
        <f>20000/2-G101-K101</f>
        <v>5110.05</v>
      </c>
      <c r="M101" s="23"/>
      <c r="N101" s="23"/>
      <c r="O101" s="23"/>
      <c r="P101" s="23"/>
      <c r="Q101" s="23"/>
      <c r="R101" s="23">
        <f t="shared" si="37"/>
        <v>10000</v>
      </c>
      <c r="S101" s="25">
        <f t="shared" si="34"/>
        <v>60000</v>
      </c>
      <c r="T101" s="53"/>
    </row>
    <row r="102" spans="1:20" x14ac:dyDescent="0.25">
      <c r="A102" s="20" t="s">
        <v>172</v>
      </c>
      <c r="B102" s="21" t="s">
        <v>173</v>
      </c>
      <c r="C102" s="22">
        <v>0.5</v>
      </c>
      <c r="D102" s="22">
        <v>14</v>
      </c>
      <c r="E102" s="23">
        <v>3866</v>
      </c>
      <c r="F102" s="22"/>
      <c r="G102" s="23">
        <f t="shared" si="30"/>
        <v>3866</v>
      </c>
      <c r="H102" s="23"/>
      <c r="I102" s="23"/>
      <c r="J102" s="23"/>
      <c r="K102" s="23">
        <f t="shared" si="33"/>
        <v>1159.8</v>
      </c>
      <c r="L102" s="23">
        <f>20000/2-G102-K102</f>
        <v>4974.2</v>
      </c>
      <c r="M102" s="23"/>
      <c r="N102" s="23"/>
      <c r="O102" s="23"/>
      <c r="P102" s="23"/>
      <c r="Q102" s="23"/>
      <c r="R102" s="23">
        <f t="shared" si="37"/>
        <v>10000</v>
      </c>
      <c r="S102" s="25">
        <f t="shared" si="34"/>
        <v>60000</v>
      </c>
      <c r="T102" s="53"/>
    </row>
    <row r="103" spans="1:20" x14ac:dyDescent="0.25">
      <c r="A103" s="20" t="s">
        <v>174</v>
      </c>
      <c r="B103" s="21" t="s">
        <v>128</v>
      </c>
      <c r="C103" s="22">
        <v>0.5</v>
      </c>
      <c r="D103" s="22">
        <v>9</v>
      </c>
      <c r="E103" s="23">
        <f>5527*C103</f>
        <v>2763.5</v>
      </c>
      <c r="F103" s="22"/>
      <c r="G103" s="23">
        <f t="shared" si="30"/>
        <v>2763.5</v>
      </c>
      <c r="H103" s="23"/>
      <c r="I103" s="23"/>
      <c r="J103" s="23"/>
      <c r="K103" s="23">
        <f t="shared" si="33"/>
        <v>829.05</v>
      </c>
      <c r="L103" s="23">
        <f>13500*C103-G103-K103</f>
        <v>3157.45</v>
      </c>
      <c r="M103" s="23"/>
      <c r="N103" s="23"/>
      <c r="O103" s="23"/>
      <c r="P103" s="23"/>
      <c r="Q103" s="23"/>
      <c r="R103" s="23">
        <f>G103+K103+L103</f>
        <v>6750</v>
      </c>
      <c r="S103" s="25">
        <f t="shared" si="34"/>
        <v>40500</v>
      </c>
      <c r="T103" s="53"/>
    </row>
    <row r="104" spans="1:20" x14ac:dyDescent="0.25">
      <c r="A104" s="20" t="s">
        <v>175</v>
      </c>
      <c r="B104" s="21" t="s">
        <v>176</v>
      </c>
      <c r="C104" s="22">
        <v>1</v>
      </c>
      <c r="D104" s="22">
        <v>9</v>
      </c>
      <c r="E104" s="23">
        <v>5527</v>
      </c>
      <c r="F104" s="22">
        <f>E104*0.15</f>
        <v>829.05</v>
      </c>
      <c r="G104" s="23">
        <f t="shared" si="30"/>
        <v>6356.05</v>
      </c>
      <c r="H104" s="23"/>
      <c r="I104" s="23"/>
      <c r="J104" s="23"/>
      <c r="K104" s="23">
        <f t="shared" si="33"/>
        <v>1906.8150000000001</v>
      </c>
      <c r="L104" s="23">
        <f>13500-G104-K104</f>
        <v>5237.1350000000002</v>
      </c>
      <c r="M104" s="23"/>
      <c r="N104" s="23"/>
      <c r="O104" s="23"/>
      <c r="P104" s="23"/>
      <c r="Q104" s="23"/>
      <c r="R104" s="23">
        <f>G104+K104+L104</f>
        <v>13500</v>
      </c>
      <c r="S104" s="25">
        <f t="shared" si="34"/>
        <v>81000</v>
      </c>
      <c r="T104" s="53"/>
    </row>
    <row r="105" spans="1:20" x14ac:dyDescent="0.25">
      <c r="A105" s="20" t="s">
        <v>177</v>
      </c>
      <c r="B105" s="21" t="s">
        <v>178</v>
      </c>
      <c r="C105" s="22">
        <v>1.5</v>
      </c>
      <c r="D105" s="22">
        <v>7</v>
      </c>
      <c r="E105" s="23">
        <v>7380</v>
      </c>
      <c r="F105" s="22"/>
      <c r="G105" s="23">
        <f t="shared" si="30"/>
        <v>7380</v>
      </c>
      <c r="H105" s="23"/>
      <c r="I105" s="23">
        <f>G105*0.1</f>
        <v>738</v>
      </c>
      <c r="J105" s="23"/>
      <c r="K105" s="23">
        <f t="shared" si="33"/>
        <v>2214</v>
      </c>
      <c r="L105" s="23">
        <f>13500*1.5-G105-I105-K105</f>
        <v>9918</v>
      </c>
      <c r="M105" s="23"/>
      <c r="N105" s="23"/>
      <c r="O105" s="23"/>
      <c r="P105" s="23"/>
      <c r="Q105" s="23"/>
      <c r="R105" s="23">
        <f>G105+I105+K105+L105</f>
        <v>20250</v>
      </c>
      <c r="S105" s="25">
        <f t="shared" si="34"/>
        <v>121500</v>
      </c>
      <c r="T105" s="53"/>
    </row>
    <row r="106" spans="1:20" x14ac:dyDescent="0.25">
      <c r="A106" s="20" t="s">
        <v>179</v>
      </c>
      <c r="B106" s="21" t="s">
        <v>91</v>
      </c>
      <c r="C106" s="22">
        <v>6</v>
      </c>
      <c r="D106" s="22">
        <v>9</v>
      </c>
      <c r="E106" s="23">
        <f>5527*C106</f>
        <v>33162</v>
      </c>
      <c r="F106" s="22"/>
      <c r="G106" s="23">
        <f t="shared" si="30"/>
        <v>33162</v>
      </c>
      <c r="H106" s="23"/>
      <c r="I106" s="23"/>
      <c r="J106" s="23"/>
      <c r="K106" s="23">
        <f t="shared" si="33"/>
        <v>9948.6</v>
      </c>
      <c r="L106" s="23">
        <f>13500*C106-G106-K106</f>
        <v>37889.4</v>
      </c>
      <c r="M106" s="23"/>
      <c r="N106" s="23"/>
      <c r="O106" s="23"/>
      <c r="P106" s="23"/>
      <c r="Q106" s="23"/>
      <c r="R106" s="23">
        <f t="shared" ref="R106" si="39">G106+K106+L106</f>
        <v>81000</v>
      </c>
      <c r="S106" s="25">
        <f t="shared" si="34"/>
        <v>486000</v>
      </c>
      <c r="T106" s="53"/>
    </row>
    <row r="107" spans="1:20" x14ac:dyDescent="0.25">
      <c r="A107" s="20" t="s">
        <v>181</v>
      </c>
      <c r="B107" s="21" t="s">
        <v>180</v>
      </c>
      <c r="C107" s="22">
        <v>1</v>
      </c>
      <c r="D107" s="22">
        <v>9</v>
      </c>
      <c r="E107" s="23">
        <f>5527*C107</f>
        <v>5527</v>
      </c>
      <c r="F107" s="22"/>
      <c r="G107" s="23">
        <f t="shared" si="30"/>
        <v>5527</v>
      </c>
      <c r="H107" s="23"/>
      <c r="I107" s="23">
        <f>G107*0.1</f>
        <v>552.70000000000005</v>
      </c>
      <c r="J107" s="23"/>
      <c r="K107" s="23">
        <f t="shared" si="33"/>
        <v>1658.1</v>
      </c>
      <c r="L107" s="23">
        <f>13500-G107-K107-I107</f>
        <v>5762.2</v>
      </c>
      <c r="M107" s="23"/>
      <c r="N107" s="23"/>
      <c r="O107" s="23"/>
      <c r="P107" s="23"/>
      <c r="Q107" s="23"/>
      <c r="R107" s="23">
        <f>G107+K107+L107+I107</f>
        <v>13500</v>
      </c>
      <c r="S107" s="25">
        <f t="shared" si="34"/>
        <v>81000</v>
      </c>
      <c r="T107" s="53"/>
    </row>
    <row r="108" spans="1:20" x14ac:dyDescent="0.25">
      <c r="A108" s="20" t="s">
        <v>183</v>
      </c>
      <c r="B108" s="21" t="s">
        <v>182</v>
      </c>
      <c r="C108" s="22">
        <v>2</v>
      </c>
      <c r="D108" s="22">
        <v>9</v>
      </c>
      <c r="E108" s="23">
        <f>5527*C108</f>
        <v>11054</v>
      </c>
      <c r="F108" s="22">
        <f>E108*0.15</f>
        <v>1658.1</v>
      </c>
      <c r="G108" s="23">
        <f t="shared" si="30"/>
        <v>12712.1</v>
      </c>
      <c r="H108" s="23"/>
      <c r="I108" s="23"/>
      <c r="J108" s="23"/>
      <c r="K108" s="23">
        <f t="shared" si="33"/>
        <v>3813.63</v>
      </c>
      <c r="L108" s="23">
        <f>13500*C108-G108-K108</f>
        <v>10474.27</v>
      </c>
      <c r="M108" s="23"/>
      <c r="N108" s="23"/>
      <c r="O108" s="23"/>
      <c r="P108" s="23"/>
      <c r="Q108" s="23"/>
      <c r="R108" s="23">
        <f t="shared" ref="R108" si="40">G108+K108+L108</f>
        <v>27000</v>
      </c>
      <c r="S108" s="25">
        <f t="shared" si="34"/>
        <v>162000</v>
      </c>
      <c r="T108" s="53"/>
    </row>
    <row r="109" spans="1:20" s="38" customFormat="1" x14ac:dyDescent="0.25">
      <c r="A109" s="20" t="s">
        <v>185</v>
      </c>
      <c r="B109" s="21" t="s">
        <v>184</v>
      </c>
      <c r="C109" s="22">
        <v>0.5</v>
      </c>
      <c r="D109" s="22">
        <v>4</v>
      </c>
      <c r="E109" s="23">
        <v>2029</v>
      </c>
      <c r="F109" s="22"/>
      <c r="G109" s="23">
        <f>E109+F109</f>
        <v>2029</v>
      </c>
      <c r="H109" s="23"/>
      <c r="I109" s="23"/>
      <c r="J109" s="23"/>
      <c r="K109" s="23"/>
      <c r="L109" s="23"/>
      <c r="M109" s="23"/>
      <c r="N109" s="23"/>
      <c r="O109" s="23"/>
      <c r="P109" s="23">
        <f>8000/2-G109</f>
        <v>1971</v>
      </c>
      <c r="Q109" s="23"/>
      <c r="R109" s="23">
        <f>G109+I109+P109</f>
        <v>4000</v>
      </c>
      <c r="S109" s="25">
        <f t="shared" si="34"/>
        <v>24000</v>
      </c>
      <c r="T109" s="46"/>
    </row>
    <row r="110" spans="1:20" x14ac:dyDescent="0.25">
      <c r="A110" s="20" t="s">
        <v>188</v>
      </c>
      <c r="B110" s="21" t="s">
        <v>134</v>
      </c>
      <c r="C110" s="22">
        <v>5</v>
      </c>
      <c r="D110" s="22">
        <v>3</v>
      </c>
      <c r="E110" s="23">
        <f>3770*C110</f>
        <v>18850</v>
      </c>
      <c r="F110" s="22"/>
      <c r="G110" s="23">
        <f t="shared" si="30"/>
        <v>18850</v>
      </c>
      <c r="H110" s="23"/>
      <c r="I110" s="23">
        <f>G110*0.1</f>
        <v>1885</v>
      </c>
      <c r="J110" s="23"/>
      <c r="K110" s="23"/>
      <c r="L110" s="23"/>
      <c r="M110" s="23"/>
      <c r="N110" s="23"/>
      <c r="O110" s="23"/>
      <c r="P110" s="23">
        <f>8000*C110-G110</f>
        <v>21150</v>
      </c>
      <c r="Q110" s="23"/>
      <c r="R110" s="23">
        <f>G110+I110+P110</f>
        <v>41885</v>
      </c>
      <c r="S110" s="25">
        <f t="shared" si="34"/>
        <v>251310</v>
      </c>
      <c r="T110" s="53"/>
    </row>
    <row r="111" spans="1:20" s="27" customFormat="1" ht="23.4" customHeight="1" thickBot="1" x14ac:dyDescent="0.3">
      <c r="A111" s="112"/>
      <c r="B111" s="113" t="s">
        <v>59</v>
      </c>
      <c r="C111" s="114">
        <f>SUM(C83:C110)</f>
        <v>33.75</v>
      </c>
      <c r="D111" s="114"/>
      <c r="E111" s="115">
        <f>SUM(E83:E110)</f>
        <v>200417.25</v>
      </c>
      <c r="F111" s="115">
        <f>SUM(F83:F110)</f>
        <v>8277.9500000000007</v>
      </c>
      <c r="G111" s="115">
        <f>SUM(G83:G110)</f>
        <v>208695.2</v>
      </c>
      <c r="H111" s="115"/>
      <c r="I111" s="115">
        <f>SUM(I83:I110)</f>
        <v>3175.7</v>
      </c>
      <c r="J111" s="115"/>
      <c r="K111" s="115">
        <f>SUM(K83:K110)</f>
        <v>56344.859999999993</v>
      </c>
      <c r="L111" s="115">
        <f>SUM(L83:L110)</f>
        <v>251548.24000000002</v>
      </c>
      <c r="M111" s="115"/>
      <c r="N111" s="115"/>
      <c r="O111" s="115"/>
      <c r="P111" s="115">
        <f>SUM(P109:P110)</f>
        <v>23121</v>
      </c>
      <c r="Q111" s="115"/>
      <c r="R111" s="115">
        <f>SUM(R83:R110)</f>
        <v>542885</v>
      </c>
      <c r="S111" s="116">
        <f>SUM(S83:S110)</f>
        <v>3257310</v>
      </c>
      <c r="T111" s="54"/>
    </row>
    <row r="112" spans="1:20" ht="22.2" customHeight="1" x14ac:dyDescent="0.25">
      <c r="A112" s="15"/>
      <c r="B112" s="86" t="s">
        <v>187</v>
      </c>
      <c r="C112" s="85"/>
      <c r="D112" s="85"/>
      <c r="E112" s="94"/>
      <c r="F112" s="85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110"/>
      <c r="T112" s="53"/>
    </row>
    <row r="113" spans="1:20" x14ac:dyDescent="0.25">
      <c r="A113" s="20" t="s">
        <v>190</v>
      </c>
      <c r="B113" s="21" t="s">
        <v>189</v>
      </c>
      <c r="C113" s="22">
        <v>0.75</v>
      </c>
      <c r="D113" s="22">
        <v>10</v>
      </c>
      <c r="E113" s="23">
        <f>5815*C113</f>
        <v>4361.25</v>
      </c>
      <c r="F113" s="22">
        <f>E113*0.15</f>
        <v>654.1875</v>
      </c>
      <c r="G113" s="23">
        <f t="shared" ref="G113:G117" si="41">E113+F113</f>
        <v>5015.4375</v>
      </c>
      <c r="H113" s="23"/>
      <c r="I113" s="23">
        <f>G113*0.1</f>
        <v>501.54375000000005</v>
      </c>
      <c r="J113" s="23"/>
      <c r="K113" s="23">
        <f>G113*0.3</f>
        <v>1504.6312499999999</v>
      </c>
      <c r="L113" s="23">
        <f>20000*C113-G113-I113-K113</f>
        <v>7978.3874999999989</v>
      </c>
      <c r="M113" s="23"/>
      <c r="N113" s="23"/>
      <c r="O113" s="23"/>
      <c r="P113" s="23"/>
      <c r="Q113" s="23"/>
      <c r="R113" s="23">
        <f>G113+I113+K113+L113</f>
        <v>14999.999999999998</v>
      </c>
      <c r="S113" s="25">
        <f>R113*6</f>
        <v>89999.999999999985</v>
      </c>
      <c r="T113" s="53"/>
    </row>
    <row r="114" spans="1:20" x14ac:dyDescent="0.25">
      <c r="A114" s="20" t="s">
        <v>192</v>
      </c>
      <c r="B114" s="21" t="s">
        <v>191</v>
      </c>
      <c r="C114" s="22">
        <v>1</v>
      </c>
      <c r="D114" s="22">
        <v>9</v>
      </c>
      <c r="E114" s="23">
        <v>5527</v>
      </c>
      <c r="F114" s="22">
        <f>E114*0.15</f>
        <v>829.05</v>
      </c>
      <c r="G114" s="23">
        <f t="shared" si="41"/>
        <v>6356.05</v>
      </c>
      <c r="H114" s="23"/>
      <c r="I114" s="23"/>
      <c r="J114" s="23"/>
      <c r="K114" s="23">
        <f t="shared" ref="K114:K115" si="42">G114*0.3</f>
        <v>1906.8150000000001</v>
      </c>
      <c r="L114" s="23">
        <f>20000-G114-K114</f>
        <v>11737.135</v>
      </c>
      <c r="M114" s="23"/>
      <c r="N114" s="23"/>
      <c r="O114" s="23"/>
      <c r="P114" s="23"/>
      <c r="Q114" s="23"/>
      <c r="R114" s="23">
        <f>G114+I114+K114+L114</f>
        <v>20000</v>
      </c>
      <c r="S114" s="25">
        <f t="shared" ref="S114:S116" si="43">R114*6</f>
        <v>120000</v>
      </c>
      <c r="T114" s="53"/>
    </row>
    <row r="115" spans="1:20" x14ac:dyDescent="0.25">
      <c r="A115" s="20" t="s">
        <v>194</v>
      </c>
      <c r="B115" s="21" t="s">
        <v>193</v>
      </c>
      <c r="C115" s="22">
        <v>3</v>
      </c>
      <c r="D115" s="22">
        <v>10</v>
      </c>
      <c r="E115" s="23">
        <f>5815*C115</f>
        <v>17445</v>
      </c>
      <c r="F115" s="22">
        <f>E115*0.15</f>
        <v>2616.75</v>
      </c>
      <c r="G115" s="23">
        <f t="shared" si="41"/>
        <v>20061.75</v>
      </c>
      <c r="H115" s="23"/>
      <c r="I115" s="23">
        <f>G115*0.1</f>
        <v>2006.1750000000002</v>
      </c>
      <c r="J115" s="23"/>
      <c r="K115" s="23">
        <f t="shared" si="42"/>
        <v>6018.5249999999996</v>
      </c>
      <c r="L115" s="23">
        <f>13500*C115-G115-I115-K115</f>
        <v>12413.550000000001</v>
      </c>
      <c r="M115" s="23"/>
      <c r="N115" s="23"/>
      <c r="O115" s="23"/>
      <c r="P115" s="23"/>
      <c r="Q115" s="23"/>
      <c r="R115" s="23">
        <f>G115+I115+K115+L115</f>
        <v>40500</v>
      </c>
      <c r="S115" s="25">
        <f t="shared" si="43"/>
        <v>243000</v>
      </c>
      <c r="T115" s="53"/>
    </row>
    <row r="116" spans="1:20" s="38" customFormat="1" x14ac:dyDescent="0.25">
      <c r="A116" s="20" t="s">
        <v>197</v>
      </c>
      <c r="B116" s="21" t="s">
        <v>186</v>
      </c>
      <c r="C116" s="22">
        <v>1</v>
      </c>
      <c r="D116" s="22">
        <v>3</v>
      </c>
      <c r="E116" s="23">
        <f>3770*C116</f>
        <v>3770</v>
      </c>
      <c r="F116" s="22">
        <f>E116*0.15</f>
        <v>565.5</v>
      </c>
      <c r="G116" s="23">
        <f t="shared" si="41"/>
        <v>4335.5</v>
      </c>
      <c r="H116" s="23"/>
      <c r="I116" s="23">
        <f>G116*0.1</f>
        <v>433.55</v>
      </c>
      <c r="J116" s="23"/>
      <c r="K116" s="23" t="s">
        <v>195</v>
      </c>
      <c r="L116" s="23"/>
      <c r="M116" s="23"/>
      <c r="N116" s="23"/>
      <c r="O116" s="23"/>
      <c r="P116" s="23">
        <f>8000*C116-E116</f>
        <v>4230</v>
      </c>
      <c r="Q116" s="23"/>
      <c r="R116" s="23">
        <f>G116+I116+P116</f>
        <v>8999.0499999999993</v>
      </c>
      <c r="S116" s="25">
        <f t="shared" si="43"/>
        <v>53994.299999999996</v>
      </c>
      <c r="T116" s="46"/>
    </row>
    <row r="117" spans="1:20" s="27" customFormat="1" ht="25.2" customHeight="1" x14ac:dyDescent="0.25">
      <c r="A117" s="112"/>
      <c r="B117" s="113" t="s">
        <v>59</v>
      </c>
      <c r="C117" s="114">
        <f>C113+C114+C115+C116</f>
        <v>5.75</v>
      </c>
      <c r="D117" s="114"/>
      <c r="E117" s="115">
        <f>SUM(E113:E116)</f>
        <v>31103.25</v>
      </c>
      <c r="F117" s="114">
        <f>SUM(F113:F116)</f>
        <v>4665.4875000000002</v>
      </c>
      <c r="G117" s="115">
        <f t="shared" si="41"/>
        <v>35768.737500000003</v>
      </c>
      <c r="H117" s="115"/>
      <c r="I117" s="115">
        <f>SUM(I113:I116)</f>
        <v>2941.2687500000002</v>
      </c>
      <c r="J117" s="115"/>
      <c r="K117" s="115">
        <f>SUM(K113:K116)</f>
        <v>9429.9712499999987</v>
      </c>
      <c r="L117" s="115">
        <f>SUM(L113:L116)</f>
        <v>32129.072500000002</v>
      </c>
      <c r="M117" s="115"/>
      <c r="N117" s="115"/>
      <c r="O117" s="115"/>
      <c r="P117" s="115">
        <f>SUM(P113:P116)</f>
        <v>4230</v>
      </c>
      <c r="Q117" s="115"/>
      <c r="R117" s="115">
        <f>SUM(R113:R116)</f>
        <v>84499.05</v>
      </c>
      <c r="S117" s="116">
        <f>SUM(S113:S116)</f>
        <v>506994.3</v>
      </c>
      <c r="T117" s="54"/>
    </row>
    <row r="118" spans="1:20" s="27" customFormat="1" ht="21.6" customHeight="1" x14ac:dyDescent="0.25">
      <c r="A118" s="125"/>
      <c r="B118" s="126" t="s">
        <v>326</v>
      </c>
      <c r="C118" s="126"/>
      <c r="D118" s="126"/>
      <c r="E118" s="127"/>
      <c r="F118" s="126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127"/>
      <c r="T118" s="54"/>
    </row>
    <row r="119" spans="1:20" s="27" customFormat="1" ht="15" customHeight="1" x14ac:dyDescent="0.25">
      <c r="A119" s="128" t="s">
        <v>198</v>
      </c>
      <c r="B119" s="129" t="s">
        <v>323</v>
      </c>
      <c r="C119" s="130">
        <v>0.25</v>
      </c>
      <c r="D119" s="130">
        <v>10</v>
      </c>
      <c r="E119" s="131">
        <f>5815*C119</f>
        <v>1453.75</v>
      </c>
      <c r="F119" s="130">
        <f>E119*0.15</f>
        <v>218.0625</v>
      </c>
      <c r="G119" s="131">
        <f>E119+F119</f>
        <v>1671.8125</v>
      </c>
      <c r="H119" s="131"/>
      <c r="I119" s="131">
        <f>G119*0.1</f>
        <v>167.18125000000001</v>
      </c>
      <c r="J119" s="131"/>
      <c r="K119" s="131">
        <f>G119*0.3</f>
        <v>501.54374999999999</v>
      </c>
      <c r="L119" s="131">
        <f>20000*C119-G119-I119-K119</f>
        <v>2659.4625000000001</v>
      </c>
      <c r="M119" s="131"/>
      <c r="N119" s="131"/>
      <c r="O119" s="131"/>
      <c r="P119" s="131"/>
      <c r="Q119" s="131"/>
      <c r="R119" s="131">
        <f>L119+K119+I119+G119</f>
        <v>5000</v>
      </c>
      <c r="S119" s="131">
        <f>R119*6</f>
        <v>30000</v>
      </c>
      <c r="T119" s="54"/>
    </row>
    <row r="120" spans="1:20" s="27" customFormat="1" ht="13.2" customHeight="1" x14ac:dyDescent="0.25">
      <c r="A120" s="128" t="s">
        <v>199</v>
      </c>
      <c r="B120" s="129" t="s">
        <v>324</v>
      </c>
      <c r="C120" s="130">
        <v>0.25</v>
      </c>
      <c r="D120" s="130">
        <v>10</v>
      </c>
      <c r="E120" s="131">
        <f>5815*C120</f>
        <v>1453.75</v>
      </c>
      <c r="F120" s="130">
        <f>E120*0.15</f>
        <v>218.0625</v>
      </c>
      <c r="G120" s="131">
        <f>E120+F120</f>
        <v>1671.8125</v>
      </c>
      <c r="H120" s="131"/>
      <c r="I120" s="131">
        <f>G120*0.1</f>
        <v>167.18125000000001</v>
      </c>
      <c r="J120" s="131"/>
      <c r="K120" s="131">
        <f>G120*0.3</f>
        <v>501.54374999999999</v>
      </c>
      <c r="L120" s="131">
        <f>20000*C120-G120-I120-K120</f>
        <v>2659.4625000000001</v>
      </c>
      <c r="M120" s="131"/>
      <c r="N120" s="131"/>
      <c r="O120" s="131"/>
      <c r="P120" s="131"/>
      <c r="Q120" s="131"/>
      <c r="R120" s="131">
        <f t="shared" ref="R120" si="44">L120+K120+I120+G120</f>
        <v>5000</v>
      </c>
      <c r="S120" s="131">
        <f>R120*6</f>
        <v>30000</v>
      </c>
      <c r="T120" s="54"/>
    </row>
    <row r="121" spans="1:20" s="27" customFormat="1" ht="21.6" customHeight="1" x14ac:dyDescent="0.25">
      <c r="A121" s="128"/>
      <c r="B121" s="132" t="s">
        <v>59</v>
      </c>
      <c r="C121" s="126">
        <v>0.5</v>
      </c>
      <c r="D121" s="126"/>
      <c r="E121" s="127">
        <f>SUM(E119:E120)</f>
        <v>2907.5</v>
      </c>
      <c r="F121" s="126">
        <f>SUM(F119:F120)</f>
        <v>436.125</v>
      </c>
      <c r="G121" s="127">
        <f>SUM(G119:G120)</f>
        <v>3343.625</v>
      </c>
      <c r="H121" s="127"/>
      <c r="I121" s="127">
        <f>SUM(I119:I120)</f>
        <v>334.36250000000001</v>
      </c>
      <c r="J121" s="127"/>
      <c r="K121" s="127">
        <f>SUM(K119:K120)</f>
        <v>1003.0875</v>
      </c>
      <c r="L121" s="127">
        <f>SUM(L119:L120)</f>
        <v>5318.9250000000002</v>
      </c>
      <c r="M121" s="127"/>
      <c r="N121" s="127"/>
      <c r="O121" s="127"/>
      <c r="P121" s="127"/>
      <c r="Q121" s="127"/>
      <c r="R121" s="127">
        <f>SUM(R119:R120)</f>
        <v>10000</v>
      </c>
      <c r="S121" s="127">
        <f>SUM(S119:S120)</f>
        <v>60000</v>
      </c>
      <c r="T121" s="54"/>
    </row>
    <row r="122" spans="1:20" ht="23.4" customHeight="1" x14ac:dyDescent="0.25">
      <c r="A122" s="133"/>
      <c r="B122" s="29" t="s">
        <v>327</v>
      </c>
      <c r="C122" s="29"/>
      <c r="D122" s="29"/>
      <c r="E122" s="30"/>
      <c r="F122" s="29"/>
      <c r="G122" s="23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53"/>
    </row>
    <row r="123" spans="1:20" ht="14.4" customHeight="1" x14ac:dyDescent="0.25">
      <c r="A123" s="20" t="s">
        <v>198</v>
      </c>
      <c r="B123" s="21" t="s">
        <v>110</v>
      </c>
      <c r="C123" s="22">
        <v>0.25</v>
      </c>
      <c r="D123" s="22">
        <v>10</v>
      </c>
      <c r="E123" s="23">
        <f>5815*C123</f>
        <v>1453.75</v>
      </c>
      <c r="F123" s="22">
        <f t="shared" ref="F123:F126" si="45">E123*0.15</f>
        <v>218.0625</v>
      </c>
      <c r="G123" s="23">
        <f t="shared" si="20"/>
        <v>1671.8125</v>
      </c>
      <c r="H123" s="23"/>
      <c r="I123" s="23"/>
      <c r="J123" s="23"/>
      <c r="K123" s="23">
        <f>G123*0.3</f>
        <v>501.54374999999999</v>
      </c>
      <c r="L123" s="23">
        <f>20000*C123-G123-K123</f>
        <v>2826.6437500000002</v>
      </c>
      <c r="M123" s="23"/>
      <c r="N123" s="23"/>
      <c r="O123" s="23"/>
      <c r="P123" s="23"/>
      <c r="Q123" s="23"/>
      <c r="R123" s="23">
        <f t="shared" ref="R123:R124" si="46">G123+K123+L123</f>
        <v>5000</v>
      </c>
      <c r="S123" s="25">
        <f>R123*6</f>
        <v>30000</v>
      </c>
      <c r="T123" s="53"/>
    </row>
    <row r="124" spans="1:20" x14ac:dyDescent="0.25">
      <c r="A124" s="20" t="s">
        <v>199</v>
      </c>
      <c r="B124" s="21" t="s">
        <v>104</v>
      </c>
      <c r="C124" s="22">
        <v>0.25</v>
      </c>
      <c r="D124" s="22">
        <v>10</v>
      </c>
      <c r="E124" s="23">
        <f>5815*C124</f>
        <v>1453.75</v>
      </c>
      <c r="F124" s="22">
        <f t="shared" si="45"/>
        <v>218.0625</v>
      </c>
      <c r="G124" s="23">
        <f t="shared" si="20"/>
        <v>1671.8125</v>
      </c>
      <c r="H124" s="23"/>
      <c r="I124" s="23"/>
      <c r="J124" s="23"/>
      <c r="K124" s="23">
        <f t="shared" ref="K124:K125" si="47">G124*0.3</f>
        <v>501.54374999999999</v>
      </c>
      <c r="L124" s="23">
        <f>20000*C124-G124-K124</f>
        <v>2826.6437500000002</v>
      </c>
      <c r="M124" s="23"/>
      <c r="N124" s="23"/>
      <c r="O124" s="23"/>
      <c r="P124" s="23"/>
      <c r="Q124" s="23"/>
      <c r="R124" s="23">
        <f t="shared" si="46"/>
        <v>5000</v>
      </c>
      <c r="S124" s="25">
        <f t="shared" ref="S124:S126" si="48">R124*6</f>
        <v>30000</v>
      </c>
      <c r="T124" s="53"/>
    </row>
    <row r="125" spans="1:20" x14ac:dyDescent="0.25">
      <c r="A125" s="20" t="s">
        <v>200</v>
      </c>
      <c r="B125" s="21" t="s">
        <v>130</v>
      </c>
      <c r="C125" s="22">
        <v>4</v>
      </c>
      <c r="D125" s="22">
        <v>9</v>
      </c>
      <c r="E125" s="23">
        <f>5527*C125</f>
        <v>22108</v>
      </c>
      <c r="F125" s="22">
        <f t="shared" si="45"/>
        <v>3316.2</v>
      </c>
      <c r="G125" s="23">
        <f t="shared" si="20"/>
        <v>25424.2</v>
      </c>
      <c r="H125" s="23"/>
      <c r="I125" s="23">
        <f t="shared" ref="I125:I126" si="49">G125*0.1</f>
        <v>2542.42</v>
      </c>
      <c r="J125" s="23"/>
      <c r="K125" s="23">
        <f t="shared" si="47"/>
        <v>7627.26</v>
      </c>
      <c r="L125" s="23">
        <f>13500*C125-G125-K125-I125-N125</f>
        <v>15816.520000000002</v>
      </c>
      <c r="M125" s="23"/>
      <c r="N125" s="23">
        <f>647.4*C125</f>
        <v>2589.6</v>
      </c>
      <c r="O125" s="23"/>
      <c r="P125" s="23"/>
      <c r="Q125" s="23"/>
      <c r="R125" s="23">
        <f>G125+K125+L125+I125+N125</f>
        <v>54000</v>
      </c>
      <c r="S125" s="25">
        <f t="shared" si="48"/>
        <v>324000</v>
      </c>
      <c r="T125" s="53"/>
    </row>
    <row r="126" spans="1:20" s="13" customFormat="1" x14ac:dyDescent="0.2">
      <c r="A126" s="28" t="s">
        <v>202</v>
      </c>
      <c r="B126" s="21" t="s">
        <v>134</v>
      </c>
      <c r="C126" s="22">
        <v>2.5</v>
      </c>
      <c r="D126" s="22">
        <v>4</v>
      </c>
      <c r="E126" s="23">
        <f>4058*C126</f>
        <v>10145</v>
      </c>
      <c r="F126" s="22">
        <f t="shared" si="45"/>
        <v>1521.75</v>
      </c>
      <c r="G126" s="23">
        <f t="shared" si="20"/>
        <v>11666.75</v>
      </c>
      <c r="H126" s="23"/>
      <c r="I126" s="23">
        <f t="shared" si="49"/>
        <v>1166.675</v>
      </c>
      <c r="J126" s="23"/>
      <c r="K126" s="23"/>
      <c r="L126" s="23"/>
      <c r="M126" s="23"/>
      <c r="N126" s="23">
        <f>475.33*C126</f>
        <v>1188.325</v>
      </c>
      <c r="O126" s="23"/>
      <c r="P126" s="23">
        <f>8000*C126-E126</f>
        <v>9855</v>
      </c>
      <c r="Q126" s="23"/>
      <c r="R126" s="23">
        <f>G126+I126+P126+N126</f>
        <v>23876.75</v>
      </c>
      <c r="S126" s="25">
        <f t="shared" si="48"/>
        <v>143260.5</v>
      </c>
      <c r="T126" s="52"/>
    </row>
    <row r="127" spans="1:20" s="27" customFormat="1" ht="21.6" customHeight="1" thickBot="1" x14ac:dyDescent="0.3">
      <c r="A127" s="64"/>
      <c r="B127" s="117" t="s">
        <v>59</v>
      </c>
      <c r="C127" s="34">
        <f>SUM(C123:C126)</f>
        <v>7</v>
      </c>
      <c r="D127" s="34"/>
      <c r="E127" s="35">
        <f>SUM(E123:E126)</f>
        <v>35160.5</v>
      </c>
      <c r="F127" s="34">
        <f>SUM(F123:F126)</f>
        <v>5274.0749999999998</v>
      </c>
      <c r="G127" s="35">
        <f>SUM(G123:G126)</f>
        <v>40434.574999999997</v>
      </c>
      <c r="H127" s="35"/>
      <c r="I127" s="35">
        <f>SUM(I123:I126)</f>
        <v>3709.0950000000003</v>
      </c>
      <c r="J127" s="35"/>
      <c r="K127" s="35">
        <f>SUM(K123:K126)</f>
        <v>8630.3474999999999</v>
      </c>
      <c r="L127" s="35">
        <f>SUM(L123:L126)</f>
        <v>21469.807500000003</v>
      </c>
      <c r="M127" s="35"/>
      <c r="N127" s="35">
        <f>SUM(N123:N126)</f>
        <v>3777.9250000000002</v>
      </c>
      <c r="O127" s="35"/>
      <c r="P127" s="35">
        <f>SUM(P123:P126)</f>
        <v>9855</v>
      </c>
      <c r="Q127" s="35"/>
      <c r="R127" s="35">
        <f>SUM(R123:R126)</f>
        <v>87876.75</v>
      </c>
      <c r="S127" s="36">
        <f>SUM(S123:S126)</f>
        <v>527260.5</v>
      </c>
      <c r="T127" s="54"/>
    </row>
    <row r="128" spans="1:20" s="56" customFormat="1" ht="27" customHeight="1" x14ac:dyDescent="0.25">
      <c r="A128" s="15"/>
      <c r="B128" s="86" t="s">
        <v>201</v>
      </c>
      <c r="C128" s="85"/>
      <c r="D128" s="85"/>
      <c r="E128" s="94"/>
      <c r="F128" s="85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110"/>
      <c r="T128" s="58"/>
    </row>
    <row r="129" spans="1:20" s="13" customFormat="1" x14ac:dyDescent="0.25">
      <c r="A129" s="20" t="s">
        <v>203</v>
      </c>
      <c r="B129" s="59" t="s">
        <v>100</v>
      </c>
      <c r="C129" s="22">
        <v>1</v>
      </c>
      <c r="D129" s="22">
        <v>13</v>
      </c>
      <c r="E129" s="23">
        <v>7253</v>
      </c>
      <c r="F129" s="22">
        <f>E129*0.2</f>
        <v>1450.6000000000001</v>
      </c>
      <c r="G129" s="23">
        <f t="shared" ref="G129:G130" si="50">E129+F129</f>
        <v>8703.6</v>
      </c>
      <c r="H129" s="23"/>
      <c r="I129" s="23"/>
      <c r="J129" s="23"/>
      <c r="K129" s="23">
        <f t="shared" ref="K129:K130" si="51">G129*0.3</f>
        <v>2611.08</v>
      </c>
      <c r="L129" s="23">
        <f t="shared" ref="L129" si="52">20000-G129-K129</f>
        <v>8685.32</v>
      </c>
      <c r="M129" s="23"/>
      <c r="N129" s="23"/>
      <c r="O129" s="23"/>
      <c r="P129" s="23"/>
      <c r="Q129" s="23"/>
      <c r="R129" s="23">
        <f>G129+K129+L129+O129</f>
        <v>20000</v>
      </c>
      <c r="S129" s="25">
        <f>R129*6</f>
        <v>120000</v>
      </c>
      <c r="T129" s="52"/>
    </row>
    <row r="130" spans="1:20" s="38" customFormat="1" x14ac:dyDescent="0.25">
      <c r="A130" s="57" t="s">
        <v>205</v>
      </c>
      <c r="B130" s="21" t="s">
        <v>128</v>
      </c>
      <c r="C130" s="22">
        <v>1</v>
      </c>
      <c r="D130" s="22">
        <v>10</v>
      </c>
      <c r="E130" s="23">
        <v>5815</v>
      </c>
      <c r="F130" s="22">
        <f>E130*0.1</f>
        <v>581.5</v>
      </c>
      <c r="G130" s="23">
        <f t="shared" si="50"/>
        <v>6396.5</v>
      </c>
      <c r="H130" s="23"/>
      <c r="I130" s="23"/>
      <c r="J130" s="23"/>
      <c r="K130" s="23">
        <f t="shared" si="51"/>
        <v>1918.9499999999998</v>
      </c>
      <c r="L130" s="23">
        <f>13500-G130-K130</f>
        <v>5184.55</v>
      </c>
      <c r="M130" s="23"/>
      <c r="N130" s="23"/>
      <c r="O130" s="23"/>
      <c r="P130" s="23"/>
      <c r="Q130" s="23"/>
      <c r="R130" s="23">
        <f>G130+K130+L130</f>
        <v>13500</v>
      </c>
      <c r="S130" s="25">
        <f>R130*6</f>
        <v>81000</v>
      </c>
      <c r="T130" s="46"/>
    </row>
    <row r="131" spans="1:20" x14ac:dyDescent="0.25">
      <c r="A131" s="28"/>
      <c r="B131" s="50"/>
      <c r="C131" s="60"/>
      <c r="D131" s="60"/>
      <c r="E131" s="61"/>
      <c r="F131" s="60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2"/>
      <c r="T131" s="53"/>
    </row>
    <row r="132" spans="1:20" ht="21" customHeight="1" x14ac:dyDescent="0.25">
      <c r="A132" s="20"/>
      <c r="B132" s="63" t="s">
        <v>204</v>
      </c>
      <c r="C132" s="29"/>
      <c r="D132" s="29"/>
      <c r="E132" s="30"/>
      <c r="F132" s="29"/>
      <c r="G132" s="23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1"/>
      <c r="T132" s="53"/>
    </row>
    <row r="133" spans="1:20" ht="11.4" customHeight="1" x14ac:dyDescent="0.25">
      <c r="A133" s="20" t="s">
        <v>207</v>
      </c>
      <c r="B133" s="21" t="s">
        <v>206</v>
      </c>
      <c r="C133" s="22">
        <v>4.5</v>
      </c>
      <c r="D133" s="22">
        <v>14</v>
      </c>
      <c r="E133" s="23">
        <f>7732*C133</f>
        <v>34794</v>
      </c>
      <c r="F133" s="22"/>
      <c r="G133" s="23">
        <f t="shared" ref="G133:G139" si="53">E133+F133</f>
        <v>34794</v>
      </c>
      <c r="H133" s="23"/>
      <c r="I133" s="23"/>
      <c r="J133" s="23"/>
      <c r="K133" s="23">
        <f t="shared" ref="K133" si="54">G133*0.3</f>
        <v>10438.199999999999</v>
      </c>
      <c r="L133" s="23">
        <f>20000*C133-G133-K133</f>
        <v>44767.8</v>
      </c>
      <c r="M133" s="23"/>
      <c r="N133" s="23"/>
      <c r="O133" s="23"/>
      <c r="P133" s="23"/>
      <c r="Q133" s="23"/>
      <c r="R133" s="23">
        <f>G133+K133+L133+O133</f>
        <v>90000</v>
      </c>
      <c r="S133" s="25">
        <f>R133*6</f>
        <v>540000</v>
      </c>
    </row>
    <row r="134" spans="1:20" x14ac:dyDescent="0.25">
      <c r="A134" s="20" t="s">
        <v>209</v>
      </c>
      <c r="B134" s="21" t="s">
        <v>208</v>
      </c>
      <c r="C134" s="22">
        <v>1</v>
      </c>
      <c r="D134" s="22">
        <v>13</v>
      </c>
      <c r="E134" s="23">
        <v>7523</v>
      </c>
      <c r="F134" s="22"/>
      <c r="G134" s="23">
        <f t="shared" si="53"/>
        <v>7523</v>
      </c>
      <c r="H134" s="23"/>
      <c r="I134" s="23"/>
      <c r="J134" s="23"/>
      <c r="K134" s="23">
        <f>G134*0.3</f>
        <v>2256.9</v>
      </c>
      <c r="L134" s="23">
        <f>20000-G134-K134</f>
        <v>10220.1</v>
      </c>
      <c r="M134" s="23"/>
      <c r="N134" s="23"/>
      <c r="O134" s="23"/>
      <c r="P134" s="23"/>
      <c r="Q134" s="23"/>
      <c r="R134" s="23">
        <f>G134+K134+L134+O134</f>
        <v>20000</v>
      </c>
      <c r="S134" s="25">
        <f t="shared" ref="S134:S139" si="55">R134*6</f>
        <v>120000</v>
      </c>
    </row>
    <row r="135" spans="1:20" s="13" customFormat="1" x14ac:dyDescent="0.25">
      <c r="A135" s="20" t="s">
        <v>210</v>
      </c>
      <c r="B135" s="21" t="s">
        <v>112</v>
      </c>
      <c r="C135" s="22">
        <v>1</v>
      </c>
      <c r="D135" s="22">
        <v>12</v>
      </c>
      <c r="E135" s="23">
        <v>6773</v>
      </c>
      <c r="F135" s="22"/>
      <c r="G135" s="23">
        <f t="shared" si="53"/>
        <v>6773</v>
      </c>
      <c r="H135" s="23"/>
      <c r="I135" s="23"/>
      <c r="J135" s="23"/>
      <c r="K135" s="23">
        <f t="shared" ref="K135:K137" si="56">G135*0.3</f>
        <v>2031.8999999999999</v>
      </c>
      <c r="L135" s="23">
        <f t="shared" ref="L135" si="57">20000-G135-K135</f>
        <v>11195.1</v>
      </c>
      <c r="M135" s="23"/>
      <c r="N135" s="23"/>
      <c r="O135" s="23"/>
      <c r="P135" s="23"/>
      <c r="Q135" s="23"/>
      <c r="R135" s="23">
        <f>G135+K135+L135+O135</f>
        <v>20000</v>
      </c>
      <c r="S135" s="25">
        <f t="shared" si="55"/>
        <v>120000</v>
      </c>
    </row>
    <row r="136" spans="1:20" x14ac:dyDescent="0.25">
      <c r="A136" s="20" t="s">
        <v>213</v>
      </c>
      <c r="B136" s="21" t="s">
        <v>211</v>
      </c>
      <c r="C136" s="22">
        <v>5</v>
      </c>
      <c r="D136" s="22">
        <v>10</v>
      </c>
      <c r="E136" s="23">
        <f>5815*C136</f>
        <v>29075</v>
      </c>
      <c r="F136" s="22"/>
      <c r="G136" s="23">
        <f t="shared" si="53"/>
        <v>29075</v>
      </c>
      <c r="H136" s="23"/>
      <c r="I136" s="23">
        <f>G136*0.1</f>
        <v>2907.5</v>
      </c>
      <c r="J136" s="23"/>
      <c r="K136" s="23">
        <f t="shared" si="56"/>
        <v>8722.5</v>
      </c>
      <c r="L136" s="23">
        <f>13500*C136-G136-I136-K136</f>
        <v>26795</v>
      </c>
      <c r="M136" s="23"/>
      <c r="N136" s="23"/>
      <c r="O136" s="23"/>
      <c r="P136" s="23"/>
      <c r="Q136" s="23"/>
      <c r="R136" s="23">
        <f>G136+I136+K136+L136</f>
        <v>67500</v>
      </c>
      <c r="S136" s="25">
        <f t="shared" si="55"/>
        <v>405000</v>
      </c>
      <c r="T136" s="53"/>
    </row>
    <row r="137" spans="1:20" s="13" customFormat="1" x14ac:dyDescent="0.25">
      <c r="A137" s="20" t="s">
        <v>214</v>
      </c>
      <c r="B137" s="21" t="s">
        <v>91</v>
      </c>
      <c r="C137" s="22">
        <v>1</v>
      </c>
      <c r="D137" s="22">
        <v>10</v>
      </c>
      <c r="E137" s="23">
        <v>5815</v>
      </c>
      <c r="F137" s="22"/>
      <c r="G137" s="23">
        <f t="shared" si="53"/>
        <v>5815</v>
      </c>
      <c r="H137" s="23"/>
      <c r="I137" s="23"/>
      <c r="J137" s="23"/>
      <c r="K137" s="23">
        <f t="shared" si="56"/>
        <v>1744.5</v>
      </c>
      <c r="L137" s="23">
        <f t="shared" ref="L137:L138" si="58">13500-G137-K137</f>
        <v>5940.5</v>
      </c>
      <c r="M137" s="23"/>
      <c r="N137" s="23"/>
      <c r="O137" s="23"/>
      <c r="P137" s="23"/>
      <c r="Q137" s="23"/>
      <c r="R137" s="23">
        <f t="shared" ref="R137:R138" si="59">G137+K137+L137</f>
        <v>13500</v>
      </c>
      <c r="S137" s="25">
        <f t="shared" si="55"/>
        <v>81000</v>
      </c>
    </row>
    <row r="138" spans="1:20" x14ac:dyDescent="0.25">
      <c r="A138" s="20" t="s">
        <v>216</v>
      </c>
      <c r="B138" s="21" t="s">
        <v>215</v>
      </c>
      <c r="C138" s="22">
        <v>1</v>
      </c>
      <c r="D138" s="22">
        <v>10</v>
      </c>
      <c r="E138" s="23">
        <v>5815</v>
      </c>
      <c r="F138" s="22"/>
      <c r="G138" s="23">
        <f t="shared" si="53"/>
        <v>5815</v>
      </c>
      <c r="H138" s="23"/>
      <c r="I138" s="23"/>
      <c r="J138" s="23"/>
      <c r="K138" s="23">
        <f>G138*0.3</f>
        <v>1744.5</v>
      </c>
      <c r="L138" s="23">
        <f t="shared" si="58"/>
        <v>5940.5</v>
      </c>
      <c r="M138" s="23"/>
      <c r="N138" s="23"/>
      <c r="O138" s="23"/>
      <c r="P138" s="23"/>
      <c r="Q138" s="23"/>
      <c r="R138" s="23">
        <f t="shared" si="59"/>
        <v>13500</v>
      </c>
      <c r="S138" s="25">
        <f t="shared" si="55"/>
        <v>81000</v>
      </c>
    </row>
    <row r="139" spans="1:20" x14ac:dyDescent="0.25">
      <c r="A139" s="20" t="s">
        <v>218</v>
      </c>
      <c r="B139" s="21" t="s">
        <v>134</v>
      </c>
      <c r="C139" s="22">
        <v>2</v>
      </c>
      <c r="D139" s="22">
        <v>3</v>
      </c>
      <c r="E139" s="23">
        <f>3770*C139</f>
        <v>7540</v>
      </c>
      <c r="F139" s="22"/>
      <c r="G139" s="23">
        <f t="shared" si="53"/>
        <v>7540</v>
      </c>
      <c r="H139" s="23"/>
      <c r="I139" s="23">
        <f>G139*0.1</f>
        <v>754</v>
      </c>
      <c r="J139" s="23"/>
      <c r="K139" s="23"/>
      <c r="L139" s="23"/>
      <c r="M139" s="23"/>
      <c r="N139" s="23"/>
      <c r="O139" s="23"/>
      <c r="P139" s="23">
        <f>8000*C139-G139</f>
        <v>8460</v>
      </c>
      <c r="Q139" s="23"/>
      <c r="R139" s="23">
        <f>SUM(G139:Q139)</f>
        <v>16754</v>
      </c>
      <c r="S139" s="25">
        <f t="shared" si="55"/>
        <v>100524</v>
      </c>
    </row>
    <row r="140" spans="1:20" s="27" customFormat="1" ht="25.8" customHeight="1" thickBot="1" x14ac:dyDescent="0.3">
      <c r="A140" s="64"/>
      <c r="B140" s="47" t="s">
        <v>59</v>
      </c>
      <c r="C140" s="34">
        <f>SUM(C129:C139)</f>
        <v>17.5</v>
      </c>
      <c r="D140" s="34"/>
      <c r="E140" s="35">
        <f>SUM(E129:E139)</f>
        <v>110403</v>
      </c>
      <c r="F140" s="34">
        <f>SUM(F129:F139)</f>
        <v>2032.1000000000001</v>
      </c>
      <c r="G140" s="35">
        <f>SUM(G129:G139)</f>
        <v>112435.1</v>
      </c>
      <c r="H140" s="35"/>
      <c r="I140" s="35">
        <f>SUM(I129:I139)</f>
        <v>3661.5</v>
      </c>
      <c r="J140" s="35"/>
      <c r="K140" s="35">
        <f>SUM(K129:K139)</f>
        <v>31468.530000000002</v>
      </c>
      <c r="L140" s="35">
        <f>SUM(L129:L139)</f>
        <v>118728.87000000001</v>
      </c>
      <c r="M140" s="35">
        <f>SUM(M139:M139)</f>
        <v>0</v>
      </c>
      <c r="N140" s="35"/>
      <c r="O140" s="35">
        <f>SUM(O134:O139)</f>
        <v>0</v>
      </c>
      <c r="P140" s="35">
        <f>SUM(P139:P139)</f>
        <v>8460</v>
      </c>
      <c r="Q140" s="35"/>
      <c r="R140" s="35">
        <f>SUM(R129:R139)</f>
        <v>274754</v>
      </c>
      <c r="S140" s="36">
        <f>SUM(S129:S139)</f>
        <v>1648524</v>
      </c>
    </row>
    <row r="141" spans="1:20" ht="27.6" customHeight="1" x14ac:dyDescent="0.25">
      <c r="A141" s="15"/>
      <c r="B141" s="55" t="s">
        <v>217</v>
      </c>
      <c r="C141" s="85"/>
      <c r="D141" s="85"/>
      <c r="E141" s="94"/>
      <c r="F141" s="85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110"/>
    </row>
    <row r="142" spans="1:20" x14ac:dyDescent="0.25">
      <c r="A142" s="20" t="s">
        <v>221</v>
      </c>
      <c r="B142" s="21" t="s">
        <v>219</v>
      </c>
      <c r="C142" s="22">
        <v>6</v>
      </c>
      <c r="D142" s="22">
        <v>10</v>
      </c>
      <c r="E142" s="23">
        <f>5815*C142</f>
        <v>34890</v>
      </c>
      <c r="F142" s="22"/>
      <c r="G142" s="23">
        <f t="shared" ref="G142:G143" si="60">E142+F142</f>
        <v>34890</v>
      </c>
      <c r="H142" s="23"/>
      <c r="I142" s="23"/>
      <c r="J142" s="23"/>
      <c r="K142" s="23">
        <f t="shared" ref="K142" si="61">G142*0.3</f>
        <v>10467</v>
      </c>
      <c r="L142" s="23">
        <f>13500*C142-G142-K142-N142</f>
        <v>31556.22</v>
      </c>
      <c r="M142" s="23"/>
      <c r="N142" s="23">
        <f>681.13*C142</f>
        <v>4086.7799999999997</v>
      </c>
      <c r="O142" s="23"/>
      <c r="P142" s="23"/>
      <c r="Q142" s="23"/>
      <c r="R142" s="23">
        <f t="shared" ref="R142" si="62">G142+K142+L142+N142</f>
        <v>81000</v>
      </c>
      <c r="S142" s="25">
        <f>R142*6</f>
        <v>486000</v>
      </c>
    </row>
    <row r="143" spans="1:20" x14ac:dyDescent="0.25">
      <c r="A143" s="20" t="s">
        <v>223</v>
      </c>
      <c r="B143" s="21" t="s">
        <v>78</v>
      </c>
      <c r="C143" s="22">
        <v>5</v>
      </c>
      <c r="D143" s="22">
        <v>4</v>
      </c>
      <c r="E143" s="23">
        <f>4058*C143</f>
        <v>20290</v>
      </c>
      <c r="F143" s="22"/>
      <c r="G143" s="23">
        <f t="shared" si="60"/>
        <v>20290</v>
      </c>
      <c r="H143" s="23"/>
      <c r="I143" s="23"/>
      <c r="J143" s="23"/>
      <c r="K143" s="23"/>
      <c r="L143" s="23"/>
      <c r="M143" s="23"/>
      <c r="N143" s="23">
        <f>475.33*C143</f>
        <v>2376.65</v>
      </c>
      <c r="O143" s="23"/>
      <c r="P143" s="23">
        <f>8000*C143-G143</f>
        <v>19710</v>
      </c>
      <c r="Q143" s="23"/>
      <c r="R143" s="23">
        <f>E143+P143+N143</f>
        <v>42376.65</v>
      </c>
      <c r="S143" s="25">
        <f>R143*6</f>
        <v>254259.90000000002</v>
      </c>
    </row>
    <row r="144" spans="1:20" s="27" customFormat="1" ht="22.2" customHeight="1" thickBot="1" x14ac:dyDescent="0.3">
      <c r="A144" s="64"/>
      <c r="B144" s="47" t="s">
        <v>59</v>
      </c>
      <c r="C144" s="34">
        <f>SUM(C142:C143)</f>
        <v>11</v>
      </c>
      <c r="D144" s="34"/>
      <c r="E144" s="35">
        <f>SUM(E142:E143)</f>
        <v>55180</v>
      </c>
      <c r="F144" s="34"/>
      <c r="G144" s="35">
        <f>SUM(G142:G143)</f>
        <v>55180</v>
      </c>
      <c r="H144" s="35"/>
      <c r="I144" s="35"/>
      <c r="J144" s="35"/>
      <c r="K144" s="35">
        <f>SUM(K142:K143)</f>
        <v>10467</v>
      </c>
      <c r="L144" s="35">
        <f>SUM(L142:L143)</f>
        <v>31556.22</v>
      </c>
      <c r="M144" s="35"/>
      <c r="N144" s="35">
        <f>SUM(N142:N143)</f>
        <v>6463.43</v>
      </c>
      <c r="O144" s="35"/>
      <c r="P144" s="35">
        <f>SUM(P142:P143)</f>
        <v>19710</v>
      </c>
      <c r="Q144" s="35"/>
      <c r="R144" s="35">
        <f>SUM(R142:R143)</f>
        <v>123376.65</v>
      </c>
      <c r="S144" s="36">
        <f>SUM(S142:S143)</f>
        <v>740259.9</v>
      </c>
    </row>
    <row r="145" spans="1:20" ht="29.4" customHeight="1" x14ac:dyDescent="0.25">
      <c r="A145" s="15"/>
      <c r="B145" s="55" t="s">
        <v>222</v>
      </c>
      <c r="C145" s="85"/>
      <c r="D145" s="85"/>
      <c r="E145" s="94"/>
      <c r="F145" s="85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110"/>
    </row>
    <row r="146" spans="1:20" x14ac:dyDescent="0.25">
      <c r="A146" s="20" t="s">
        <v>224</v>
      </c>
      <c r="B146" s="21" t="s">
        <v>206</v>
      </c>
      <c r="C146" s="22">
        <v>1</v>
      </c>
      <c r="D146" s="22">
        <v>12</v>
      </c>
      <c r="E146" s="23">
        <f>6773*C146</f>
        <v>6773</v>
      </c>
      <c r="F146" s="22">
        <f>E146*0.1</f>
        <v>677.30000000000007</v>
      </c>
      <c r="G146" s="23">
        <f t="shared" ref="G146:G151" si="63">E146+F146</f>
        <v>7450.3</v>
      </c>
      <c r="H146" s="23"/>
      <c r="I146" s="23"/>
      <c r="J146" s="23"/>
      <c r="K146" s="23">
        <f>G146*0.3</f>
        <v>2235.09</v>
      </c>
      <c r="L146" s="23">
        <f>20000*C146-G146-K146</f>
        <v>10314.61</v>
      </c>
      <c r="M146" s="23"/>
      <c r="N146" s="23"/>
      <c r="O146" s="23"/>
      <c r="P146" s="23"/>
      <c r="Q146" s="23"/>
      <c r="R146" s="23">
        <f>G146+K146+L146</f>
        <v>20000</v>
      </c>
      <c r="S146" s="25">
        <f>R146*6</f>
        <v>120000</v>
      </c>
    </row>
    <row r="147" spans="1:20" x14ac:dyDescent="0.25">
      <c r="A147" s="20" t="s">
        <v>225</v>
      </c>
      <c r="B147" s="21" t="s">
        <v>91</v>
      </c>
      <c r="C147" s="22">
        <v>1</v>
      </c>
      <c r="D147" s="22">
        <v>7</v>
      </c>
      <c r="E147" s="23">
        <v>4920</v>
      </c>
      <c r="F147" s="22"/>
      <c r="G147" s="23">
        <f t="shared" si="63"/>
        <v>4920</v>
      </c>
      <c r="H147" s="23"/>
      <c r="I147" s="23"/>
      <c r="J147" s="23"/>
      <c r="K147" s="23">
        <f>G147*0.3</f>
        <v>1476</v>
      </c>
      <c r="L147" s="23">
        <f>13500-G147-K147</f>
        <v>7104</v>
      </c>
      <c r="M147" s="23"/>
      <c r="N147" s="23"/>
      <c r="O147" s="23"/>
      <c r="P147" s="23"/>
      <c r="Q147" s="23"/>
      <c r="R147" s="23">
        <f>G147+K147+L147</f>
        <v>13500</v>
      </c>
      <c r="S147" s="25">
        <f t="shared" ref="S147:S148" si="64">R147*6</f>
        <v>81000</v>
      </c>
    </row>
    <row r="148" spans="1:20" x14ac:dyDescent="0.25">
      <c r="A148" s="20" t="s">
        <v>226</v>
      </c>
      <c r="B148" s="21" t="s">
        <v>134</v>
      </c>
      <c r="C148" s="22">
        <v>1</v>
      </c>
      <c r="D148" s="22">
        <v>3</v>
      </c>
      <c r="E148" s="23">
        <v>3770</v>
      </c>
      <c r="F148" s="22"/>
      <c r="G148" s="23">
        <f t="shared" si="63"/>
        <v>3770</v>
      </c>
      <c r="H148" s="23"/>
      <c r="I148" s="23">
        <f>G148*0.1</f>
        <v>377</v>
      </c>
      <c r="J148" s="23"/>
      <c r="K148" s="23"/>
      <c r="L148" s="23"/>
      <c r="M148" s="23"/>
      <c r="N148" s="23"/>
      <c r="O148" s="23"/>
      <c r="P148" s="23">
        <f>8000-G148</f>
        <v>4230</v>
      </c>
      <c r="Q148" s="23"/>
      <c r="R148" s="23">
        <f>SUM(G148:Q148)</f>
        <v>8377</v>
      </c>
      <c r="S148" s="25">
        <f t="shared" si="64"/>
        <v>50262</v>
      </c>
    </row>
    <row r="149" spans="1:20" x14ac:dyDescent="0.25">
      <c r="A149" s="20" t="s">
        <v>228</v>
      </c>
      <c r="B149" s="21" t="s">
        <v>227</v>
      </c>
      <c r="C149" s="22">
        <v>1.75</v>
      </c>
      <c r="D149" s="22">
        <v>1</v>
      </c>
      <c r="E149" s="23">
        <f>3195*C149</f>
        <v>5591.25</v>
      </c>
      <c r="F149" s="22"/>
      <c r="G149" s="23">
        <f t="shared" si="63"/>
        <v>5591.25</v>
      </c>
      <c r="H149" s="23"/>
      <c r="I149" s="23"/>
      <c r="J149" s="23"/>
      <c r="K149" s="23"/>
      <c r="L149" s="23"/>
      <c r="M149" s="23"/>
      <c r="N149" s="23"/>
      <c r="O149" s="23"/>
      <c r="P149" s="23">
        <f>8000*C149-G149</f>
        <v>8408.75</v>
      </c>
      <c r="Q149" s="23"/>
      <c r="R149" s="23">
        <f>SUM(G149:Q149)</f>
        <v>14000</v>
      </c>
      <c r="S149" s="25">
        <f>R149*3</f>
        <v>42000</v>
      </c>
    </row>
    <row r="150" spans="1:20" s="38" customFormat="1" x14ac:dyDescent="0.25">
      <c r="A150" s="20" t="s">
        <v>231</v>
      </c>
      <c r="B150" s="21" t="s">
        <v>229</v>
      </c>
      <c r="C150" s="22">
        <v>0.5</v>
      </c>
      <c r="D150" s="22">
        <v>1</v>
      </c>
      <c r="E150" s="23">
        <v>1597.5</v>
      </c>
      <c r="F150" s="22"/>
      <c r="G150" s="23">
        <f t="shared" si="63"/>
        <v>1597.5</v>
      </c>
      <c r="H150" s="23"/>
      <c r="I150" s="23"/>
      <c r="J150" s="23"/>
      <c r="K150" s="23"/>
      <c r="L150" s="23"/>
      <c r="M150" s="23"/>
      <c r="N150" s="23"/>
      <c r="O150" s="23"/>
      <c r="P150" s="23">
        <f>4000-G150</f>
        <v>2402.5</v>
      </c>
      <c r="Q150" s="23"/>
      <c r="R150" s="23">
        <f>SUM(G150:Q150)</f>
        <v>4000</v>
      </c>
      <c r="S150" s="25">
        <f>R150*6</f>
        <v>24000</v>
      </c>
    </row>
    <row r="151" spans="1:20" s="27" customFormat="1" ht="27" customHeight="1" thickBot="1" x14ac:dyDescent="0.3">
      <c r="A151" s="64"/>
      <c r="B151" s="47" t="s">
        <v>59</v>
      </c>
      <c r="C151" s="34">
        <f>SUM(C146:C150)</f>
        <v>5.25</v>
      </c>
      <c r="D151" s="34"/>
      <c r="E151" s="35">
        <f>SUM(E146:E150)</f>
        <v>22651.75</v>
      </c>
      <c r="F151" s="34">
        <f>SUM(F146:F150)</f>
        <v>677.30000000000007</v>
      </c>
      <c r="G151" s="35">
        <f t="shared" si="63"/>
        <v>23329.05</v>
      </c>
      <c r="H151" s="35"/>
      <c r="I151" s="35">
        <f>SUM(I148:I150)</f>
        <v>377</v>
      </c>
      <c r="J151" s="35"/>
      <c r="K151" s="35">
        <f>SUM(K146:K150)</f>
        <v>3711.09</v>
      </c>
      <c r="L151" s="35">
        <f>SUM(L146:L150)</f>
        <v>17418.61</v>
      </c>
      <c r="M151" s="35"/>
      <c r="N151" s="35"/>
      <c r="O151" s="35"/>
      <c r="P151" s="35">
        <f>SUM(P146:P150)</f>
        <v>15041.25</v>
      </c>
      <c r="Q151" s="35"/>
      <c r="R151" s="35">
        <f>SUM(R146:R150)</f>
        <v>59877</v>
      </c>
      <c r="S151" s="36">
        <f>SUM(S146:S150)</f>
        <v>317262</v>
      </c>
    </row>
    <row r="152" spans="1:20" ht="23.4" customHeight="1" x14ac:dyDescent="0.25">
      <c r="A152" s="15"/>
      <c r="B152" s="55" t="s">
        <v>230</v>
      </c>
      <c r="C152" s="85"/>
      <c r="D152" s="85"/>
      <c r="E152" s="94"/>
      <c r="F152" s="85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110"/>
    </row>
    <row r="153" spans="1:20" x14ac:dyDescent="0.25">
      <c r="A153" s="20" t="s">
        <v>233</v>
      </c>
      <c r="B153" s="21" t="s">
        <v>232</v>
      </c>
      <c r="C153" s="22">
        <v>1.25</v>
      </c>
      <c r="D153" s="22">
        <v>13</v>
      </c>
      <c r="E153" s="23">
        <f>7253*C153</f>
        <v>9066.25</v>
      </c>
      <c r="F153" s="22">
        <f>E153*0.1</f>
        <v>906.625</v>
      </c>
      <c r="G153" s="23">
        <f t="shared" ref="G153:G157" si="65">E153+F153</f>
        <v>9972.875</v>
      </c>
      <c r="H153" s="23"/>
      <c r="I153" s="23"/>
      <c r="J153" s="23"/>
      <c r="K153" s="23">
        <f>G153*0.3</f>
        <v>2991.8624999999997</v>
      </c>
      <c r="L153" s="23">
        <f>20000*C153-G153-K153</f>
        <v>12035.262500000001</v>
      </c>
      <c r="M153" s="23"/>
      <c r="N153" s="23"/>
      <c r="O153" s="23"/>
      <c r="P153" s="23"/>
      <c r="Q153" s="23"/>
      <c r="R153" s="23">
        <f>G153+K153+L153+O153</f>
        <v>25000</v>
      </c>
      <c r="S153" s="25">
        <f>R153*6</f>
        <v>150000</v>
      </c>
    </row>
    <row r="154" spans="1:20" x14ac:dyDescent="0.25">
      <c r="A154" s="20" t="s">
        <v>234</v>
      </c>
      <c r="B154" s="21" t="s">
        <v>212</v>
      </c>
      <c r="C154" s="22">
        <v>2</v>
      </c>
      <c r="D154" s="22">
        <v>10</v>
      </c>
      <c r="E154" s="23">
        <f>5815*C154</f>
        <v>11630</v>
      </c>
      <c r="F154" s="22"/>
      <c r="G154" s="23">
        <f t="shared" si="65"/>
        <v>11630</v>
      </c>
      <c r="H154" s="23"/>
      <c r="I154" s="23"/>
      <c r="J154" s="23"/>
      <c r="K154" s="23">
        <f t="shared" ref="K154:K155" si="66">G154*0.3</f>
        <v>3489</v>
      </c>
      <c r="L154" s="23">
        <f>13500*C154-G154-K154</f>
        <v>11881</v>
      </c>
      <c r="M154" s="23"/>
      <c r="N154" s="23"/>
      <c r="O154" s="23"/>
      <c r="P154" s="23"/>
      <c r="Q154" s="23"/>
      <c r="R154" s="23">
        <f>G154+K154+L154</f>
        <v>27000</v>
      </c>
      <c r="S154" s="25">
        <f t="shared" ref="S154:S156" si="67">R154*6</f>
        <v>162000</v>
      </c>
    </row>
    <row r="155" spans="1:20" s="13" customFormat="1" x14ac:dyDescent="0.25">
      <c r="A155" s="20" t="s">
        <v>236</v>
      </c>
      <c r="B155" s="21" t="s">
        <v>235</v>
      </c>
      <c r="C155" s="22">
        <v>1</v>
      </c>
      <c r="D155" s="22">
        <v>7</v>
      </c>
      <c r="E155" s="23">
        <v>4920</v>
      </c>
      <c r="F155" s="22"/>
      <c r="G155" s="23">
        <f t="shared" si="65"/>
        <v>4920</v>
      </c>
      <c r="H155" s="23"/>
      <c r="I155" s="23"/>
      <c r="J155" s="23"/>
      <c r="K155" s="23">
        <f t="shared" si="66"/>
        <v>1476</v>
      </c>
      <c r="L155" s="23">
        <f>13500-G155-K155</f>
        <v>7104</v>
      </c>
      <c r="M155" s="23"/>
      <c r="N155" s="23"/>
      <c r="O155" s="23"/>
      <c r="P155" s="23"/>
      <c r="Q155" s="23"/>
      <c r="R155" s="23">
        <f>G155+L155+K155</f>
        <v>13500</v>
      </c>
      <c r="S155" s="25">
        <f t="shared" si="67"/>
        <v>81000</v>
      </c>
    </row>
    <row r="156" spans="1:20" s="38" customFormat="1" x14ac:dyDescent="0.25">
      <c r="A156" s="20" t="s">
        <v>238</v>
      </c>
      <c r="B156" s="21" t="s">
        <v>134</v>
      </c>
      <c r="C156" s="22">
        <v>1</v>
      </c>
      <c r="D156" s="22">
        <v>3</v>
      </c>
      <c r="E156" s="23">
        <v>3770</v>
      </c>
      <c r="F156" s="22"/>
      <c r="G156" s="23">
        <f t="shared" si="65"/>
        <v>3770</v>
      </c>
      <c r="H156" s="23"/>
      <c r="I156" s="23">
        <f>G156*0.1</f>
        <v>377</v>
      </c>
      <c r="J156" s="23"/>
      <c r="K156" s="23"/>
      <c r="L156" s="23"/>
      <c r="M156" s="23"/>
      <c r="N156" s="23"/>
      <c r="O156" s="23"/>
      <c r="P156" s="23">
        <f>8000-G156</f>
        <v>4230</v>
      </c>
      <c r="Q156" s="23"/>
      <c r="R156" s="23">
        <f>G156+I156+P156</f>
        <v>8377</v>
      </c>
      <c r="S156" s="25">
        <f t="shared" si="67"/>
        <v>50262</v>
      </c>
      <c r="T156" s="46"/>
    </row>
    <row r="157" spans="1:20" s="27" customFormat="1" ht="27" customHeight="1" thickBot="1" x14ac:dyDescent="0.3">
      <c r="A157" s="64"/>
      <c r="B157" s="47" t="s">
        <v>59</v>
      </c>
      <c r="C157" s="34">
        <f>SUM(C153:C156)</f>
        <v>5.25</v>
      </c>
      <c r="D157" s="34"/>
      <c r="E157" s="35">
        <f>SUM(E153:E156)</f>
        <v>29386.25</v>
      </c>
      <c r="F157" s="34">
        <f>SUM(F153:F156)</f>
        <v>906.625</v>
      </c>
      <c r="G157" s="35">
        <f t="shared" si="65"/>
        <v>30292.875</v>
      </c>
      <c r="H157" s="35"/>
      <c r="I157" s="35">
        <f>SUM(I156)</f>
        <v>377</v>
      </c>
      <c r="J157" s="35"/>
      <c r="K157" s="35">
        <f>SUM(K153:K156)</f>
        <v>7956.8624999999993</v>
      </c>
      <c r="L157" s="35">
        <f>SUM(L153:L156)</f>
        <v>31020.262500000001</v>
      </c>
      <c r="M157" s="35">
        <f>SUM(M153:M155)</f>
        <v>0</v>
      </c>
      <c r="N157" s="35"/>
      <c r="O157" s="35">
        <f>SUM(O153:O156)</f>
        <v>0</v>
      </c>
      <c r="P157" s="35">
        <f>SUM(P156)</f>
        <v>4230</v>
      </c>
      <c r="Q157" s="35"/>
      <c r="R157" s="35">
        <f>SUM(R153:R156)</f>
        <v>73877</v>
      </c>
      <c r="S157" s="36">
        <f>SUM(S153:S156)</f>
        <v>443262</v>
      </c>
    </row>
    <row r="158" spans="1:20" ht="24.6" customHeight="1" x14ac:dyDescent="0.25">
      <c r="A158" s="15"/>
      <c r="B158" s="55" t="s">
        <v>237</v>
      </c>
      <c r="C158" s="85"/>
      <c r="D158" s="85"/>
      <c r="E158" s="94"/>
      <c r="F158" s="85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110"/>
    </row>
    <row r="159" spans="1:20" x14ac:dyDescent="0.25">
      <c r="A159" s="20" t="s">
        <v>239</v>
      </c>
      <c r="B159" s="21" t="s">
        <v>206</v>
      </c>
      <c r="C159" s="22">
        <v>2</v>
      </c>
      <c r="D159" s="22">
        <v>11</v>
      </c>
      <c r="E159" s="23">
        <f>6294*C159</f>
        <v>12588</v>
      </c>
      <c r="F159" s="22">
        <f>E159*0.1</f>
        <v>1258.8000000000002</v>
      </c>
      <c r="G159" s="23">
        <f t="shared" ref="G159:G164" si="68">E159+F159</f>
        <v>13846.8</v>
      </c>
      <c r="H159" s="23"/>
      <c r="I159" s="23"/>
      <c r="J159" s="23"/>
      <c r="K159" s="23">
        <f>G159*0.3</f>
        <v>4154.04</v>
      </c>
      <c r="L159" s="23">
        <f>20000*C159-G159-K159</f>
        <v>21999.16</v>
      </c>
      <c r="M159" s="23"/>
      <c r="N159" s="23"/>
      <c r="O159" s="23"/>
      <c r="P159" s="23"/>
      <c r="Q159" s="23"/>
      <c r="R159" s="23">
        <f>SUM(G159:Q159)</f>
        <v>40000</v>
      </c>
      <c r="S159" s="25">
        <f>R159*6</f>
        <v>240000</v>
      </c>
    </row>
    <row r="160" spans="1:20" x14ac:dyDescent="0.25">
      <c r="A160" s="20" t="s">
        <v>240</v>
      </c>
      <c r="B160" s="21" t="s">
        <v>241</v>
      </c>
      <c r="C160" s="22">
        <v>2</v>
      </c>
      <c r="D160" s="22">
        <v>10</v>
      </c>
      <c r="E160" s="23">
        <f>5815*C160</f>
        <v>11630</v>
      </c>
      <c r="F160" s="22"/>
      <c r="G160" s="23">
        <f t="shared" si="68"/>
        <v>11630</v>
      </c>
      <c r="H160" s="23"/>
      <c r="I160" s="23"/>
      <c r="J160" s="23"/>
      <c r="K160" s="23">
        <f t="shared" ref="K160:K161" si="69">G160*0.3</f>
        <v>3489</v>
      </c>
      <c r="L160" s="23">
        <f>13500*C160-G160-K160</f>
        <v>11881</v>
      </c>
      <c r="M160" s="23"/>
      <c r="N160" s="23"/>
      <c r="O160" s="23"/>
      <c r="P160" s="23"/>
      <c r="Q160" s="23"/>
      <c r="R160" s="23">
        <f>G160+K160+L160</f>
        <v>27000</v>
      </c>
      <c r="S160" s="25">
        <f t="shared" ref="S160:S163" si="70">R160*6</f>
        <v>162000</v>
      </c>
    </row>
    <row r="161" spans="1:20" s="13" customFormat="1" x14ac:dyDescent="0.25">
      <c r="A161" s="20" t="s">
        <v>242</v>
      </c>
      <c r="B161" s="21" t="s">
        <v>91</v>
      </c>
      <c r="C161" s="22">
        <v>2</v>
      </c>
      <c r="D161" s="22">
        <v>9</v>
      </c>
      <c r="E161" s="23">
        <f>5527*C161</f>
        <v>11054</v>
      </c>
      <c r="F161" s="22"/>
      <c r="G161" s="23">
        <f t="shared" si="68"/>
        <v>11054</v>
      </c>
      <c r="H161" s="23"/>
      <c r="I161" s="23"/>
      <c r="J161" s="23"/>
      <c r="K161" s="23">
        <f t="shared" si="69"/>
        <v>3316.2</v>
      </c>
      <c r="L161" s="23">
        <f>13500*C161-G161-K161</f>
        <v>12629.8</v>
      </c>
      <c r="M161" s="23"/>
      <c r="N161" s="23"/>
      <c r="O161" s="23"/>
      <c r="P161" s="23"/>
      <c r="Q161" s="23"/>
      <c r="R161" s="23">
        <f>G161+K161+L161</f>
        <v>27000</v>
      </c>
      <c r="S161" s="25">
        <f t="shared" si="70"/>
        <v>162000</v>
      </c>
    </row>
    <row r="162" spans="1:20" x14ac:dyDescent="0.25">
      <c r="A162" s="20" t="s">
        <v>243</v>
      </c>
      <c r="B162" s="21" t="s">
        <v>134</v>
      </c>
      <c r="C162" s="22">
        <v>1</v>
      </c>
      <c r="D162" s="22">
        <v>3</v>
      </c>
      <c r="E162" s="23">
        <v>3770</v>
      </c>
      <c r="F162" s="22"/>
      <c r="G162" s="23">
        <f t="shared" si="68"/>
        <v>3770</v>
      </c>
      <c r="H162" s="23"/>
      <c r="I162" s="23">
        <f>G162*0.1</f>
        <v>377</v>
      </c>
      <c r="J162" s="23"/>
      <c r="K162" s="23"/>
      <c r="L162" s="23"/>
      <c r="M162" s="23"/>
      <c r="N162" s="23"/>
      <c r="O162" s="23"/>
      <c r="P162" s="23">
        <f>8000-G162</f>
        <v>4230</v>
      </c>
      <c r="Q162" s="23"/>
      <c r="R162" s="23">
        <f>SUM(G162:Q162)</f>
        <v>8377</v>
      </c>
      <c r="S162" s="25">
        <f t="shared" si="70"/>
        <v>50262</v>
      </c>
    </row>
    <row r="163" spans="1:20" s="38" customFormat="1" x14ac:dyDescent="0.25">
      <c r="A163" s="20" t="s">
        <v>244</v>
      </c>
      <c r="B163" s="21" t="s">
        <v>245</v>
      </c>
      <c r="C163" s="22">
        <v>1</v>
      </c>
      <c r="D163" s="22">
        <v>5</v>
      </c>
      <c r="E163" s="23">
        <v>4345</v>
      </c>
      <c r="F163" s="22"/>
      <c r="G163" s="23">
        <f t="shared" si="68"/>
        <v>4345</v>
      </c>
      <c r="H163" s="23"/>
      <c r="I163" s="23"/>
      <c r="J163" s="23"/>
      <c r="K163" s="23"/>
      <c r="L163" s="23"/>
      <c r="M163" s="23"/>
      <c r="N163" s="23"/>
      <c r="O163" s="23"/>
      <c r="P163" s="23">
        <f>8000-G163</f>
        <v>3655</v>
      </c>
      <c r="Q163" s="23"/>
      <c r="R163" s="23">
        <f>G163+P163</f>
        <v>8000</v>
      </c>
      <c r="S163" s="25">
        <f t="shared" si="70"/>
        <v>48000</v>
      </c>
    </row>
    <row r="164" spans="1:20" s="27" customFormat="1" ht="24.6" customHeight="1" thickBot="1" x14ac:dyDescent="0.3">
      <c r="A164" s="64"/>
      <c r="B164" s="47" t="s">
        <v>59</v>
      </c>
      <c r="C164" s="34">
        <f>SUM(C159:C163)</f>
        <v>8</v>
      </c>
      <c r="D164" s="34"/>
      <c r="E164" s="35">
        <f>SUM(E159:E163)</f>
        <v>43387</v>
      </c>
      <c r="F164" s="34">
        <f>SUM(F159:F163)</f>
        <v>1258.8000000000002</v>
      </c>
      <c r="G164" s="35">
        <f t="shared" si="68"/>
        <v>44645.8</v>
      </c>
      <c r="H164" s="35"/>
      <c r="I164" s="35">
        <f>SUM(I162:I163)</f>
        <v>377</v>
      </c>
      <c r="J164" s="35"/>
      <c r="K164" s="35">
        <f>SUM(K159:K163)</f>
        <v>10959.24</v>
      </c>
      <c r="L164" s="35">
        <f>SUM(L159:L163)</f>
        <v>46509.960000000006</v>
      </c>
      <c r="M164" s="35">
        <f>M159</f>
        <v>0</v>
      </c>
      <c r="N164" s="35"/>
      <c r="O164" s="35">
        <f>SUM(O159:O163)</f>
        <v>0</v>
      </c>
      <c r="P164" s="35">
        <f>SUM(P162:P163)</f>
        <v>7885</v>
      </c>
      <c r="Q164" s="35"/>
      <c r="R164" s="35">
        <f>SUM(R159:R163)</f>
        <v>110377</v>
      </c>
      <c r="S164" s="36">
        <f>SUM(S159:S163)</f>
        <v>662262</v>
      </c>
    </row>
    <row r="165" spans="1:20" s="13" customFormat="1" ht="25.8" customHeight="1" x14ac:dyDescent="0.2">
      <c r="A165" s="18"/>
      <c r="B165" s="55" t="s">
        <v>246</v>
      </c>
      <c r="C165" s="85"/>
      <c r="D165" s="85"/>
      <c r="E165" s="94"/>
      <c r="F165" s="85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110"/>
    </row>
    <row r="166" spans="1:20" x14ac:dyDescent="0.25">
      <c r="A166" s="20" t="s">
        <v>247</v>
      </c>
      <c r="B166" s="21" t="s">
        <v>232</v>
      </c>
      <c r="C166" s="22">
        <v>1.25</v>
      </c>
      <c r="D166" s="22">
        <v>11</v>
      </c>
      <c r="E166" s="23">
        <f>6294*C166</f>
        <v>7867.5</v>
      </c>
      <c r="F166" s="22">
        <f>E166*0.1</f>
        <v>786.75</v>
      </c>
      <c r="G166" s="23">
        <f t="shared" ref="G166:G169" si="71">E166+F166</f>
        <v>8654.25</v>
      </c>
      <c r="H166" s="23"/>
      <c r="I166" s="23"/>
      <c r="J166" s="23"/>
      <c r="K166" s="23">
        <f>G166*0.3</f>
        <v>2596.2750000000001</v>
      </c>
      <c r="L166" s="23">
        <f>20000*C166-G166-K166</f>
        <v>13749.475</v>
      </c>
      <c r="M166" s="23"/>
      <c r="N166" s="23"/>
      <c r="O166" s="23"/>
      <c r="P166" s="23"/>
      <c r="Q166" s="23"/>
      <c r="R166" s="23">
        <f>G166+K166+L166+O166</f>
        <v>25000</v>
      </c>
      <c r="S166" s="25">
        <f>R166*6</f>
        <v>150000</v>
      </c>
      <c r="T166" s="53"/>
    </row>
    <row r="167" spans="1:20" x14ac:dyDescent="0.25">
      <c r="A167" s="20" t="s">
        <v>248</v>
      </c>
      <c r="B167" s="21" t="s">
        <v>235</v>
      </c>
      <c r="C167" s="22">
        <v>1</v>
      </c>
      <c r="D167" s="22">
        <v>10</v>
      </c>
      <c r="E167" s="23">
        <v>5815</v>
      </c>
      <c r="F167" s="22"/>
      <c r="G167" s="23">
        <f t="shared" si="71"/>
        <v>5815</v>
      </c>
      <c r="H167" s="23"/>
      <c r="I167" s="23"/>
      <c r="J167" s="23"/>
      <c r="K167" s="23">
        <f t="shared" ref="K167:K168" si="72">G167*0.3</f>
        <v>1744.5</v>
      </c>
      <c r="L167" s="23">
        <f>13500-G167-K167</f>
        <v>5940.5</v>
      </c>
      <c r="M167" s="23"/>
      <c r="N167" s="23"/>
      <c r="O167" s="23"/>
      <c r="P167" s="23"/>
      <c r="Q167" s="23"/>
      <c r="R167" s="23">
        <f>G167+K167+L167</f>
        <v>13500</v>
      </c>
      <c r="S167" s="25">
        <f t="shared" ref="S167:S170" si="73">R167*6</f>
        <v>81000</v>
      </c>
    </row>
    <row r="168" spans="1:20" x14ac:dyDescent="0.25">
      <c r="A168" s="20" t="s">
        <v>249</v>
      </c>
      <c r="B168" s="21" t="s">
        <v>91</v>
      </c>
      <c r="C168" s="22">
        <v>0.5</v>
      </c>
      <c r="D168" s="22">
        <v>10</v>
      </c>
      <c r="E168" s="23">
        <v>2907.5</v>
      </c>
      <c r="F168" s="22"/>
      <c r="G168" s="23">
        <f t="shared" si="71"/>
        <v>2907.5</v>
      </c>
      <c r="H168" s="23"/>
      <c r="I168" s="23"/>
      <c r="J168" s="23"/>
      <c r="K168" s="23">
        <f t="shared" si="72"/>
        <v>872.25</v>
      </c>
      <c r="L168" s="23">
        <f>13500/2-G168-K168</f>
        <v>2970.25</v>
      </c>
      <c r="M168" s="23"/>
      <c r="N168" s="23"/>
      <c r="O168" s="23"/>
      <c r="P168" s="23"/>
      <c r="Q168" s="23"/>
      <c r="R168" s="23">
        <f>G168+K168+L168</f>
        <v>6750</v>
      </c>
      <c r="S168" s="25">
        <f t="shared" si="73"/>
        <v>40500</v>
      </c>
    </row>
    <row r="169" spans="1:20" x14ac:dyDescent="0.25">
      <c r="A169" s="20" t="s">
        <v>250</v>
      </c>
      <c r="B169" s="21" t="s">
        <v>134</v>
      </c>
      <c r="C169" s="22">
        <v>0.5</v>
      </c>
      <c r="D169" s="22">
        <v>3</v>
      </c>
      <c r="E169" s="23">
        <v>1885</v>
      </c>
      <c r="F169" s="22"/>
      <c r="G169" s="23">
        <f t="shared" si="71"/>
        <v>1885</v>
      </c>
      <c r="H169" s="23"/>
      <c r="I169" s="23">
        <f>G169*0.1</f>
        <v>188.5</v>
      </c>
      <c r="J169" s="23"/>
      <c r="K169" s="23"/>
      <c r="L169" s="23"/>
      <c r="M169" s="23"/>
      <c r="N169" s="23"/>
      <c r="O169" s="23"/>
      <c r="P169" s="23">
        <f>8000/2-G169</f>
        <v>2115</v>
      </c>
      <c r="Q169" s="23"/>
      <c r="R169" s="23">
        <f>SUM(G169:Q169)</f>
        <v>4188.5</v>
      </c>
      <c r="S169" s="25">
        <f t="shared" si="73"/>
        <v>25131</v>
      </c>
    </row>
    <row r="170" spans="1:20" s="38" customFormat="1" x14ac:dyDescent="0.25">
      <c r="A170" s="20" t="s">
        <v>251</v>
      </c>
      <c r="B170" s="21" t="s">
        <v>229</v>
      </c>
      <c r="C170" s="22">
        <v>0.5</v>
      </c>
      <c r="D170" s="22">
        <v>1</v>
      </c>
      <c r="E170" s="23">
        <v>1597.5</v>
      </c>
      <c r="F170" s="22"/>
      <c r="G170" s="23">
        <f>E170+F170</f>
        <v>1597.5</v>
      </c>
      <c r="H170" s="23"/>
      <c r="I170" s="23"/>
      <c r="J170" s="23"/>
      <c r="K170" s="23"/>
      <c r="L170" s="23"/>
      <c r="M170" s="23"/>
      <c r="N170" s="23"/>
      <c r="O170" s="23"/>
      <c r="P170" s="23">
        <f>8000/2-G170</f>
        <v>2402.5</v>
      </c>
      <c r="Q170" s="23"/>
      <c r="R170" s="23">
        <f t="shared" ref="R170" si="74">SUM(G170:Q170)</f>
        <v>4000</v>
      </c>
      <c r="S170" s="25">
        <f t="shared" si="73"/>
        <v>24000</v>
      </c>
    </row>
    <row r="171" spans="1:20" s="49" customFormat="1" ht="25.8" customHeight="1" thickBot="1" x14ac:dyDescent="0.3">
      <c r="A171" s="64"/>
      <c r="B171" s="47" t="s">
        <v>59</v>
      </c>
      <c r="C171" s="34">
        <f>SUM(C166:C170)</f>
        <v>3.75</v>
      </c>
      <c r="D171" s="34"/>
      <c r="E171" s="35">
        <f>SUM(E166:E170)</f>
        <v>20072.5</v>
      </c>
      <c r="F171" s="34">
        <f>SUM(F166:F170)</f>
        <v>786.75</v>
      </c>
      <c r="G171" s="35">
        <f>SUM(G166:G170)</f>
        <v>20859.25</v>
      </c>
      <c r="H171" s="35"/>
      <c r="I171" s="35">
        <f>SUM(I169:I170)</f>
        <v>188.5</v>
      </c>
      <c r="J171" s="35"/>
      <c r="K171" s="35">
        <f>SUM(K166:K170)</f>
        <v>5213.0249999999996</v>
      </c>
      <c r="L171" s="35">
        <f>SUM(L166:L170)</f>
        <v>22660.224999999999</v>
      </c>
      <c r="M171" s="35"/>
      <c r="N171" s="35"/>
      <c r="O171" s="35">
        <f>SUM(O166:O170)</f>
        <v>0</v>
      </c>
      <c r="P171" s="35">
        <f>SUM(P169:P170)</f>
        <v>4517.5</v>
      </c>
      <c r="Q171" s="35"/>
      <c r="R171" s="35">
        <f>SUM(R166:R170)</f>
        <v>53438.5</v>
      </c>
      <c r="S171" s="36">
        <f>SUM(S166:S170)</f>
        <v>320631</v>
      </c>
    </row>
    <row r="172" spans="1:20" s="13" customFormat="1" ht="23.4" customHeight="1" x14ac:dyDescent="0.2">
      <c r="A172" s="18"/>
      <c r="B172" s="55" t="s">
        <v>252</v>
      </c>
      <c r="C172" s="85"/>
      <c r="D172" s="85"/>
      <c r="E172" s="94"/>
      <c r="F172" s="85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110"/>
    </row>
    <row r="173" spans="1:20" s="13" customFormat="1" x14ac:dyDescent="0.25">
      <c r="A173" s="20" t="s">
        <v>253</v>
      </c>
      <c r="B173" s="21" t="s">
        <v>206</v>
      </c>
      <c r="C173" s="22">
        <v>1</v>
      </c>
      <c r="D173" s="22">
        <v>14</v>
      </c>
      <c r="E173" s="23">
        <v>7732</v>
      </c>
      <c r="F173" s="22">
        <f>E173*0.1</f>
        <v>773.2</v>
      </c>
      <c r="G173" s="23">
        <f t="shared" ref="G173:G180" si="75">E173+F173</f>
        <v>8505.2000000000007</v>
      </c>
      <c r="H173" s="23"/>
      <c r="I173" s="23"/>
      <c r="J173" s="23"/>
      <c r="K173" s="23">
        <f>G173*0.3</f>
        <v>2551.56</v>
      </c>
      <c r="L173" s="23">
        <f>20000-G173-K173</f>
        <v>8943.24</v>
      </c>
      <c r="M173" s="23"/>
      <c r="N173" s="23"/>
      <c r="O173" s="23"/>
      <c r="P173" s="23"/>
      <c r="Q173" s="23"/>
      <c r="R173" s="23">
        <f>G173+K173+L173+O173</f>
        <v>20000</v>
      </c>
      <c r="S173" s="25">
        <f>R173*6</f>
        <v>120000</v>
      </c>
    </row>
    <row r="174" spans="1:20" s="13" customFormat="1" x14ac:dyDescent="0.25">
      <c r="A174" s="20" t="s">
        <v>254</v>
      </c>
      <c r="B174" s="21" t="s">
        <v>112</v>
      </c>
      <c r="C174" s="22">
        <v>0.5</v>
      </c>
      <c r="D174" s="22">
        <v>13</v>
      </c>
      <c r="E174" s="23">
        <f>7253*C174</f>
        <v>3626.5</v>
      </c>
      <c r="F174" s="22"/>
      <c r="G174" s="23">
        <f t="shared" si="75"/>
        <v>3626.5</v>
      </c>
      <c r="H174" s="23"/>
      <c r="I174" s="23"/>
      <c r="J174" s="23"/>
      <c r="K174" s="23">
        <f t="shared" ref="K174:K177" si="76">G174*0.3</f>
        <v>1087.95</v>
      </c>
      <c r="L174" s="23">
        <f>20000*C174-G174-K174</f>
        <v>5285.55</v>
      </c>
      <c r="M174" s="23"/>
      <c r="N174" s="23"/>
      <c r="O174" s="23"/>
      <c r="P174" s="23"/>
      <c r="Q174" s="23"/>
      <c r="R174" s="23">
        <f>G174+K174+L174+O174</f>
        <v>10000</v>
      </c>
      <c r="S174" s="25">
        <f t="shared" ref="S174:S179" si="77">R174*6</f>
        <v>60000</v>
      </c>
    </row>
    <row r="175" spans="1:20" x14ac:dyDescent="0.25">
      <c r="A175" s="20" t="s">
        <v>255</v>
      </c>
      <c r="B175" s="21" t="s">
        <v>171</v>
      </c>
      <c r="C175" s="22">
        <v>1</v>
      </c>
      <c r="D175" s="22">
        <v>11</v>
      </c>
      <c r="E175" s="23">
        <v>6294</v>
      </c>
      <c r="F175" s="22"/>
      <c r="G175" s="23">
        <f t="shared" si="75"/>
        <v>6294</v>
      </c>
      <c r="H175" s="23"/>
      <c r="I175" s="23"/>
      <c r="J175" s="23"/>
      <c r="K175" s="23">
        <f t="shared" si="76"/>
        <v>1888.1999999999998</v>
      </c>
      <c r="L175" s="23">
        <f>20000-G175-K175</f>
        <v>11817.8</v>
      </c>
      <c r="M175" s="23"/>
      <c r="N175" s="23"/>
      <c r="O175" s="23"/>
      <c r="P175" s="23"/>
      <c r="Q175" s="23"/>
      <c r="R175" s="23">
        <f>G175+K175+L175+O175</f>
        <v>20000</v>
      </c>
      <c r="S175" s="25">
        <f t="shared" si="77"/>
        <v>120000</v>
      </c>
    </row>
    <row r="176" spans="1:20" x14ac:dyDescent="0.25">
      <c r="A176" s="20" t="s">
        <v>256</v>
      </c>
      <c r="B176" s="21" t="s">
        <v>212</v>
      </c>
      <c r="C176" s="22">
        <v>1</v>
      </c>
      <c r="D176" s="22">
        <v>10</v>
      </c>
      <c r="E176" s="23">
        <v>5815</v>
      </c>
      <c r="F176" s="22"/>
      <c r="G176" s="23">
        <f t="shared" si="75"/>
        <v>5815</v>
      </c>
      <c r="H176" s="23"/>
      <c r="I176" s="23"/>
      <c r="J176" s="23"/>
      <c r="K176" s="23">
        <f t="shared" si="76"/>
        <v>1744.5</v>
      </c>
      <c r="L176" s="23">
        <f>13500-G176-K176</f>
        <v>5940.5</v>
      </c>
      <c r="M176" s="23"/>
      <c r="N176" s="23"/>
      <c r="O176" s="23"/>
      <c r="P176" s="23"/>
      <c r="Q176" s="23"/>
      <c r="R176" s="23">
        <f>G176+K176+L176</f>
        <v>13500</v>
      </c>
      <c r="S176" s="25">
        <f t="shared" si="77"/>
        <v>81000</v>
      </c>
    </row>
    <row r="177" spans="1:20" x14ac:dyDescent="0.25">
      <c r="A177" s="20" t="s">
        <v>257</v>
      </c>
      <c r="B177" s="21" t="s">
        <v>235</v>
      </c>
      <c r="C177" s="22">
        <v>2</v>
      </c>
      <c r="D177" s="22">
        <v>10</v>
      </c>
      <c r="E177" s="23">
        <f>5815*C177</f>
        <v>11630</v>
      </c>
      <c r="F177" s="22"/>
      <c r="G177" s="23">
        <f t="shared" si="75"/>
        <v>11630</v>
      </c>
      <c r="H177" s="23"/>
      <c r="I177" s="23"/>
      <c r="J177" s="23"/>
      <c r="K177" s="23">
        <f t="shared" si="76"/>
        <v>3489</v>
      </c>
      <c r="L177" s="23">
        <f>13500*C177-G177-K177</f>
        <v>11881</v>
      </c>
      <c r="M177" s="23"/>
      <c r="N177" s="23"/>
      <c r="O177" s="23"/>
      <c r="P177" s="23"/>
      <c r="Q177" s="23"/>
      <c r="R177" s="23">
        <f t="shared" ref="R177" si="78">G177+K177+L177</f>
        <v>27000</v>
      </c>
      <c r="S177" s="25">
        <f t="shared" si="77"/>
        <v>162000</v>
      </c>
    </row>
    <row r="178" spans="1:20" x14ac:dyDescent="0.25">
      <c r="A178" s="20" t="s">
        <v>258</v>
      </c>
      <c r="B178" s="21" t="s">
        <v>134</v>
      </c>
      <c r="C178" s="22">
        <v>1</v>
      </c>
      <c r="D178" s="22">
        <v>3</v>
      </c>
      <c r="E178" s="23">
        <v>3770</v>
      </c>
      <c r="F178" s="22"/>
      <c r="G178" s="23">
        <f t="shared" si="75"/>
        <v>3770</v>
      </c>
      <c r="H178" s="23"/>
      <c r="I178" s="23">
        <f>G178*0.1</f>
        <v>377</v>
      </c>
      <c r="J178" s="23"/>
      <c r="K178" s="23"/>
      <c r="L178" s="23"/>
      <c r="M178" s="23"/>
      <c r="N178" s="23"/>
      <c r="O178" s="23"/>
      <c r="P178" s="23">
        <f>8000-G178</f>
        <v>4230</v>
      </c>
      <c r="Q178" s="23"/>
      <c r="R178" s="23">
        <f>G178+I178+P178</f>
        <v>8377</v>
      </c>
      <c r="S178" s="25">
        <f t="shared" si="77"/>
        <v>50262</v>
      </c>
      <c r="T178" s="53"/>
    </row>
    <row r="179" spans="1:20" s="38" customFormat="1" x14ac:dyDescent="0.25">
      <c r="A179" s="20" t="s">
        <v>260</v>
      </c>
      <c r="B179" s="21" t="s">
        <v>245</v>
      </c>
      <c r="C179" s="22">
        <v>0.5</v>
      </c>
      <c r="D179" s="22">
        <v>5</v>
      </c>
      <c r="E179" s="23">
        <v>2172.5</v>
      </c>
      <c r="F179" s="22"/>
      <c r="G179" s="23">
        <f t="shared" si="75"/>
        <v>2172.5</v>
      </c>
      <c r="H179" s="23"/>
      <c r="I179" s="23"/>
      <c r="J179" s="23"/>
      <c r="K179" s="23"/>
      <c r="L179" s="23"/>
      <c r="M179" s="23"/>
      <c r="N179" s="23"/>
      <c r="O179" s="23"/>
      <c r="P179" s="23">
        <f>8000/2-G179</f>
        <v>1827.5</v>
      </c>
      <c r="Q179" s="23"/>
      <c r="R179" s="23">
        <f>SUM(G179:Q179)</f>
        <v>4000</v>
      </c>
      <c r="S179" s="25">
        <f t="shared" si="77"/>
        <v>24000</v>
      </c>
    </row>
    <row r="180" spans="1:20" s="49" customFormat="1" ht="45" customHeight="1" thickBot="1" x14ac:dyDescent="0.3">
      <c r="A180" s="64"/>
      <c r="B180" s="47" t="s">
        <v>59</v>
      </c>
      <c r="C180" s="34">
        <f>SUM(C173:C179)</f>
        <v>7</v>
      </c>
      <c r="D180" s="34"/>
      <c r="E180" s="35">
        <f>SUM(E173:E179)</f>
        <v>41040</v>
      </c>
      <c r="F180" s="34">
        <f>SUM(F173:F179)</f>
        <v>773.2</v>
      </c>
      <c r="G180" s="35">
        <f t="shared" si="75"/>
        <v>41813.199999999997</v>
      </c>
      <c r="H180" s="35"/>
      <c r="I180" s="35">
        <f>SUM(I178:I179)</f>
        <v>377</v>
      </c>
      <c r="J180" s="35"/>
      <c r="K180" s="35">
        <f>SUM(K173:K179)</f>
        <v>10761.21</v>
      </c>
      <c r="L180" s="35">
        <f>SUM(L173:L179)</f>
        <v>43868.09</v>
      </c>
      <c r="M180" s="35"/>
      <c r="N180" s="35"/>
      <c r="O180" s="35">
        <f>SUM(O173:O179)</f>
        <v>0</v>
      </c>
      <c r="P180" s="35">
        <f>SUM(P173:P179)</f>
        <v>6057.5</v>
      </c>
      <c r="Q180" s="35"/>
      <c r="R180" s="35">
        <f>SUM(R173:R179)</f>
        <v>102877</v>
      </c>
      <c r="S180" s="36">
        <f>SUM(S173:S179)</f>
        <v>617262</v>
      </c>
    </row>
    <row r="181" spans="1:20" s="13" customFormat="1" ht="22.8" customHeight="1" x14ac:dyDescent="0.2">
      <c r="A181" s="18"/>
      <c r="B181" s="55" t="s">
        <v>259</v>
      </c>
      <c r="C181" s="85"/>
      <c r="D181" s="85"/>
      <c r="E181" s="94"/>
      <c r="F181" s="85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110"/>
    </row>
    <row r="182" spans="1:20" s="13" customFormat="1" x14ac:dyDescent="0.25">
      <c r="A182" s="20" t="s">
        <v>261</v>
      </c>
      <c r="B182" s="21" t="s">
        <v>206</v>
      </c>
      <c r="C182" s="22">
        <v>1</v>
      </c>
      <c r="D182" s="22">
        <v>14</v>
      </c>
      <c r="E182" s="23">
        <f>7732*C182</f>
        <v>7732</v>
      </c>
      <c r="F182" s="22">
        <f>E182*0.1</f>
        <v>773.2</v>
      </c>
      <c r="G182" s="23">
        <f t="shared" ref="G182:G185" si="79">E182+F182</f>
        <v>8505.2000000000007</v>
      </c>
      <c r="H182" s="23"/>
      <c r="I182" s="23"/>
      <c r="J182" s="23"/>
      <c r="K182" s="23"/>
      <c r="L182" s="23">
        <f>20000*C182-G182</f>
        <v>11494.8</v>
      </c>
      <c r="M182" s="23"/>
      <c r="N182" s="23"/>
      <c r="O182" s="23"/>
      <c r="P182" s="23"/>
      <c r="Q182" s="23"/>
      <c r="R182" s="23">
        <f>SUM(G182:Q182)</f>
        <v>20000</v>
      </c>
      <c r="S182" s="25">
        <f>R182*6</f>
        <v>120000</v>
      </c>
    </row>
    <row r="183" spans="1:20" x14ac:dyDescent="0.25">
      <c r="A183" s="20" t="s">
        <v>262</v>
      </c>
      <c r="B183" s="21" t="s">
        <v>235</v>
      </c>
      <c r="C183" s="22">
        <v>1</v>
      </c>
      <c r="D183" s="22">
        <v>10</v>
      </c>
      <c r="E183" s="23">
        <v>5815</v>
      </c>
      <c r="F183" s="22"/>
      <c r="G183" s="23">
        <f t="shared" si="79"/>
        <v>5815</v>
      </c>
      <c r="H183" s="23"/>
      <c r="I183" s="23"/>
      <c r="J183" s="23"/>
      <c r="K183" s="23">
        <f>G183*0.3</f>
        <v>1744.5</v>
      </c>
      <c r="L183" s="23">
        <f>13500-G183-K183</f>
        <v>5940.5</v>
      </c>
      <c r="M183" s="23"/>
      <c r="N183" s="23"/>
      <c r="O183" s="23"/>
      <c r="P183" s="23"/>
      <c r="Q183" s="23"/>
      <c r="R183" s="23">
        <f>G183+K183+L183</f>
        <v>13500</v>
      </c>
      <c r="S183" s="25">
        <f t="shared" ref="S183:S184" si="80">R183*6</f>
        <v>81000</v>
      </c>
      <c r="T183" s="53"/>
    </row>
    <row r="184" spans="1:20" s="38" customFormat="1" x14ac:dyDescent="0.25">
      <c r="A184" s="20" t="s">
        <v>264</v>
      </c>
      <c r="B184" s="21" t="s">
        <v>134</v>
      </c>
      <c r="C184" s="22">
        <v>1</v>
      </c>
      <c r="D184" s="22">
        <v>3</v>
      </c>
      <c r="E184" s="23">
        <v>3770</v>
      </c>
      <c r="F184" s="22"/>
      <c r="G184" s="23">
        <f t="shared" si="79"/>
        <v>3770</v>
      </c>
      <c r="H184" s="23"/>
      <c r="I184" s="23">
        <f>G184*0.1</f>
        <v>377</v>
      </c>
      <c r="J184" s="23"/>
      <c r="K184" s="23"/>
      <c r="L184" s="23"/>
      <c r="M184" s="23"/>
      <c r="N184" s="23"/>
      <c r="O184" s="23"/>
      <c r="P184" s="23">
        <f>8000-G184</f>
        <v>4230</v>
      </c>
      <c r="Q184" s="23"/>
      <c r="R184" s="23">
        <f>G184+I184+P184</f>
        <v>8377</v>
      </c>
      <c r="S184" s="25">
        <f t="shared" si="80"/>
        <v>50262</v>
      </c>
    </row>
    <row r="185" spans="1:20" s="49" customFormat="1" ht="23.4" customHeight="1" thickBot="1" x14ac:dyDescent="0.3">
      <c r="A185" s="64"/>
      <c r="B185" s="47" t="s">
        <v>59</v>
      </c>
      <c r="C185" s="34">
        <f>SUM(C182:C184)</f>
        <v>3</v>
      </c>
      <c r="D185" s="34"/>
      <c r="E185" s="35">
        <f>SUM(E182:E184)</f>
        <v>17317</v>
      </c>
      <c r="F185" s="34">
        <f>SUM(F182:F184)</f>
        <v>773.2</v>
      </c>
      <c r="G185" s="35">
        <f t="shared" si="79"/>
        <v>18090.2</v>
      </c>
      <c r="H185" s="35"/>
      <c r="I185" s="35">
        <f>SUM(I184)</f>
        <v>377</v>
      </c>
      <c r="J185" s="35"/>
      <c r="K185" s="35">
        <f>K183</f>
        <v>1744.5</v>
      </c>
      <c r="L185" s="35">
        <f>L182+L183</f>
        <v>17435.3</v>
      </c>
      <c r="M185" s="35">
        <f>M182</f>
        <v>0</v>
      </c>
      <c r="N185" s="35"/>
      <c r="O185" s="35"/>
      <c r="P185" s="35">
        <f>SUM(P184)</f>
        <v>4230</v>
      </c>
      <c r="Q185" s="35"/>
      <c r="R185" s="35">
        <f>SUM(R182:R184)</f>
        <v>41877</v>
      </c>
      <c r="S185" s="36">
        <f>SUM(S182:S184)</f>
        <v>251262</v>
      </c>
    </row>
    <row r="186" spans="1:20" ht="21" customHeight="1" x14ac:dyDescent="0.25">
      <c r="A186" s="15"/>
      <c r="B186" s="55" t="s">
        <v>312</v>
      </c>
      <c r="C186" s="85"/>
      <c r="D186" s="85"/>
      <c r="E186" s="94"/>
      <c r="F186" s="85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110"/>
    </row>
    <row r="187" spans="1:20" ht="24.6" customHeight="1" x14ac:dyDescent="0.25">
      <c r="A187" s="20"/>
      <c r="B187" s="44" t="s">
        <v>263</v>
      </c>
      <c r="C187" s="22"/>
      <c r="D187" s="22"/>
      <c r="E187" s="23"/>
      <c r="F187" s="22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5"/>
    </row>
    <row r="188" spans="1:20" x14ac:dyDescent="0.25">
      <c r="A188" s="20" t="s">
        <v>264</v>
      </c>
      <c r="B188" s="21" t="s">
        <v>220</v>
      </c>
      <c r="C188" s="22">
        <v>0.5</v>
      </c>
      <c r="D188" s="22">
        <v>10</v>
      </c>
      <c r="E188" s="23">
        <v>2907.5</v>
      </c>
      <c r="F188" s="22"/>
      <c r="G188" s="23">
        <f t="shared" ref="G188:G191" si="81">E188+F188</f>
        <v>2907.5</v>
      </c>
      <c r="H188" s="23"/>
      <c r="I188" s="23"/>
      <c r="J188" s="23"/>
      <c r="K188" s="23">
        <f>G188*0.3</f>
        <v>872.25</v>
      </c>
      <c r="L188" s="23">
        <f>R188-K188-G188</f>
        <v>2970.25</v>
      </c>
      <c r="M188" s="23"/>
      <c r="N188" s="23"/>
      <c r="O188" s="23"/>
      <c r="P188" s="23"/>
      <c r="Q188" s="23"/>
      <c r="R188" s="23">
        <v>6750</v>
      </c>
      <c r="S188" s="25">
        <f>R188*6</f>
        <v>40500</v>
      </c>
    </row>
    <row r="189" spans="1:20" x14ac:dyDescent="0.25">
      <c r="A189" s="20" t="s">
        <v>265</v>
      </c>
      <c r="B189" s="21" t="s">
        <v>134</v>
      </c>
      <c r="C189" s="22">
        <v>0.25</v>
      </c>
      <c r="D189" s="22">
        <v>3</v>
      </c>
      <c r="E189" s="23">
        <v>942.5</v>
      </c>
      <c r="F189" s="22"/>
      <c r="G189" s="23">
        <f t="shared" si="81"/>
        <v>942.5</v>
      </c>
      <c r="H189" s="23"/>
      <c r="I189" s="23">
        <f>G189*0.1</f>
        <v>94.25</v>
      </c>
      <c r="J189" s="23"/>
      <c r="K189" s="23"/>
      <c r="L189" s="23"/>
      <c r="M189" s="23"/>
      <c r="N189" s="23"/>
      <c r="O189" s="23"/>
      <c r="P189" s="23">
        <f>8000*0.25-G189</f>
        <v>1057.5</v>
      </c>
      <c r="Q189" s="23"/>
      <c r="R189" s="23">
        <f>E189+I189+P189</f>
        <v>2094.25</v>
      </c>
      <c r="S189" s="25">
        <f>R189*6</f>
        <v>12565.5</v>
      </c>
    </row>
    <row r="190" spans="1:20" s="38" customFormat="1" x14ac:dyDescent="0.25">
      <c r="A190" s="20" t="s">
        <v>266</v>
      </c>
      <c r="B190" s="21" t="s">
        <v>267</v>
      </c>
      <c r="C190" s="22">
        <v>0.25</v>
      </c>
      <c r="D190" s="22">
        <v>1</v>
      </c>
      <c r="E190" s="23">
        <v>798.75</v>
      </c>
      <c r="F190" s="22"/>
      <c r="G190" s="23">
        <f t="shared" si="81"/>
        <v>798.75</v>
      </c>
      <c r="H190" s="23"/>
      <c r="I190" s="23"/>
      <c r="J190" s="23"/>
      <c r="K190" s="23"/>
      <c r="L190" s="23"/>
      <c r="M190" s="23"/>
      <c r="N190" s="23"/>
      <c r="O190" s="23"/>
      <c r="P190" s="23">
        <f>8000*0.25-G190</f>
        <v>1201.25</v>
      </c>
      <c r="Q190" s="23"/>
      <c r="R190" s="23">
        <f>E190+P190</f>
        <v>2000</v>
      </c>
      <c r="S190" s="25">
        <f>R190*3</f>
        <v>6000</v>
      </c>
    </row>
    <row r="191" spans="1:20" s="27" customFormat="1" ht="24" customHeight="1" thickBot="1" x14ac:dyDescent="0.3">
      <c r="A191" s="112"/>
      <c r="B191" s="113" t="s">
        <v>59</v>
      </c>
      <c r="C191" s="114">
        <f>C188+C189+C190</f>
        <v>1</v>
      </c>
      <c r="D191" s="114"/>
      <c r="E191" s="115">
        <f>E188+E189+E190</f>
        <v>4648.75</v>
      </c>
      <c r="F191" s="114"/>
      <c r="G191" s="115">
        <f t="shared" si="81"/>
        <v>4648.75</v>
      </c>
      <c r="H191" s="115"/>
      <c r="I191" s="115">
        <f>SUM(I189)</f>
        <v>94.25</v>
      </c>
      <c r="J191" s="115"/>
      <c r="K191" s="115">
        <f>SUM(K188:K189)</f>
        <v>872.25</v>
      </c>
      <c r="L191" s="115">
        <f>SUM(L188:L189)</f>
        <v>2970.25</v>
      </c>
      <c r="M191" s="115"/>
      <c r="N191" s="115"/>
      <c r="O191" s="115"/>
      <c r="P191" s="115">
        <f>P189+P190</f>
        <v>2258.75</v>
      </c>
      <c r="Q191" s="115"/>
      <c r="R191" s="115">
        <f>SUM(R188:R190)</f>
        <v>10844.25</v>
      </c>
      <c r="S191" s="116">
        <f>SUM(S188:S190)</f>
        <v>59065.5</v>
      </c>
    </row>
    <row r="192" spans="1:20" s="13" customFormat="1" ht="20.399999999999999" customHeight="1" x14ac:dyDescent="0.2">
      <c r="A192" s="18"/>
      <c r="B192" s="55" t="s">
        <v>268</v>
      </c>
      <c r="C192" s="85"/>
      <c r="D192" s="85"/>
      <c r="E192" s="94"/>
      <c r="F192" s="85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110"/>
    </row>
    <row r="193" spans="1:20" x14ac:dyDescent="0.25">
      <c r="A193" s="20" t="s">
        <v>269</v>
      </c>
      <c r="B193" s="21" t="s">
        <v>220</v>
      </c>
      <c r="C193" s="22">
        <v>0.5</v>
      </c>
      <c r="D193" s="22">
        <v>9</v>
      </c>
      <c r="E193" s="23">
        <v>2763.5</v>
      </c>
      <c r="F193" s="22"/>
      <c r="G193" s="23">
        <f t="shared" ref="G193:G196" si="82">E193+F193</f>
        <v>2763.5</v>
      </c>
      <c r="H193" s="23"/>
      <c r="I193" s="23"/>
      <c r="J193" s="23"/>
      <c r="K193" s="23">
        <f>G193*0.3</f>
        <v>829.05</v>
      </c>
      <c r="L193" s="23">
        <f>6750-G193-K193</f>
        <v>3157.45</v>
      </c>
      <c r="M193" s="23"/>
      <c r="N193" s="23"/>
      <c r="O193" s="23"/>
      <c r="P193" s="23"/>
      <c r="Q193" s="23"/>
      <c r="R193" s="23">
        <f>G193+K193+L193</f>
        <v>6750</v>
      </c>
      <c r="S193" s="25">
        <f>R193*6</f>
        <v>40500</v>
      </c>
    </row>
    <row r="194" spans="1:20" x14ac:dyDescent="0.25">
      <c r="A194" s="20" t="s">
        <v>270</v>
      </c>
      <c r="B194" s="21" t="s">
        <v>134</v>
      </c>
      <c r="C194" s="22">
        <v>0.25</v>
      </c>
      <c r="D194" s="22">
        <v>3</v>
      </c>
      <c r="E194" s="23">
        <v>942.5</v>
      </c>
      <c r="F194" s="22"/>
      <c r="G194" s="23">
        <f t="shared" si="82"/>
        <v>942.5</v>
      </c>
      <c r="H194" s="23"/>
      <c r="I194" s="23">
        <f>G194*0.1</f>
        <v>94.25</v>
      </c>
      <c r="J194" s="23"/>
      <c r="K194" s="23"/>
      <c r="L194" s="23"/>
      <c r="M194" s="23"/>
      <c r="N194" s="23"/>
      <c r="O194" s="23"/>
      <c r="P194" s="23">
        <f>8000*0.25-G194</f>
        <v>1057.5</v>
      </c>
      <c r="Q194" s="23"/>
      <c r="R194" s="23">
        <f>E194+I194+P194</f>
        <v>2094.25</v>
      </c>
      <c r="S194" s="25">
        <f>R194*6</f>
        <v>12565.5</v>
      </c>
    </row>
    <row r="195" spans="1:20" s="38" customFormat="1" x14ac:dyDescent="0.25">
      <c r="A195" s="20" t="s">
        <v>271</v>
      </c>
      <c r="B195" s="21" t="s">
        <v>227</v>
      </c>
      <c r="C195" s="22">
        <v>0.5</v>
      </c>
      <c r="D195" s="22">
        <v>1</v>
      </c>
      <c r="E195" s="23">
        <v>1597.5</v>
      </c>
      <c r="F195" s="22"/>
      <c r="G195" s="23">
        <f t="shared" si="82"/>
        <v>1597.5</v>
      </c>
      <c r="H195" s="23"/>
      <c r="I195" s="23"/>
      <c r="J195" s="23"/>
      <c r="K195" s="23"/>
      <c r="L195" s="23"/>
      <c r="M195" s="23"/>
      <c r="N195" s="23"/>
      <c r="O195" s="23"/>
      <c r="P195" s="23">
        <f>8000/2-G195</f>
        <v>2402.5</v>
      </c>
      <c r="Q195" s="23"/>
      <c r="R195" s="23">
        <f>E195+P195</f>
        <v>4000</v>
      </c>
      <c r="S195" s="25">
        <f>R195*3</f>
        <v>12000</v>
      </c>
    </row>
    <row r="196" spans="1:20" s="27" customFormat="1" ht="27.6" customHeight="1" thickBot="1" x14ac:dyDescent="0.3">
      <c r="A196" s="64"/>
      <c r="B196" s="47" t="s">
        <v>59</v>
      </c>
      <c r="C196" s="34">
        <f>C193+C194+C195</f>
        <v>1.25</v>
      </c>
      <c r="D196" s="34"/>
      <c r="E196" s="35">
        <f>E193+E194+E195</f>
        <v>5303.5</v>
      </c>
      <c r="F196" s="34"/>
      <c r="G196" s="35">
        <f t="shared" si="82"/>
        <v>5303.5</v>
      </c>
      <c r="H196" s="35"/>
      <c r="I196" s="35">
        <f>SUM(I193:I194)</f>
        <v>94.25</v>
      </c>
      <c r="J196" s="35"/>
      <c r="K196" s="35">
        <f>SUM(K193:K195)</f>
        <v>829.05</v>
      </c>
      <c r="L196" s="35">
        <f>SUM(L192:L194)</f>
        <v>3157.45</v>
      </c>
      <c r="M196" s="35"/>
      <c r="N196" s="35"/>
      <c r="O196" s="35"/>
      <c r="P196" s="35">
        <f>P194+P195</f>
        <v>3460</v>
      </c>
      <c r="Q196" s="35"/>
      <c r="R196" s="35">
        <f>SUM(R193:R195)</f>
        <v>12844.25</v>
      </c>
      <c r="S196" s="36">
        <f>SUM(S193:S195)</f>
        <v>65065.5</v>
      </c>
    </row>
    <row r="197" spans="1:20" ht="22.8" customHeight="1" x14ac:dyDescent="0.25">
      <c r="A197" s="57"/>
      <c r="B197" s="111" t="s">
        <v>272</v>
      </c>
      <c r="C197" s="91"/>
      <c r="D197" s="91"/>
      <c r="E197" s="51"/>
      <c r="F197" s="9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97"/>
      <c r="T197" s="65"/>
    </row>
    <row r="198" spans="1:20" x14ac:dyDescent="0.25">
      <c r="A198" s="20" t="s">
        <v>273</v>
      </c>
      <c r="B198" s="21" t="s">
        <v>130</v>
      </c>
      <c r="C198" s="22">
        <v>1</v>
      </c>
      <c r="D198" s="22">
        <v>10</v>
      </c>
      <c r="E198" s="23">
        <v>5815</v>
      </c>
      <c r="F198" s="22"/>
      <c r="G198" s="23">
        <f t="shared" ref="G198:G201" si="83">E198+F198</f>
        <v>5815</v>
      </c>
      <c r="H198" s="23"/>
      <c r="I198" s="23"/>
      <c r="J198" s="23"/>
      <c r="K198" s="23">
        <f>G198*0.3</f>
        <v>1744.5</v>
      </c>
      <c r="L198" s="23">
        <f>13500-G198-K198</f>
        <v>5940.5</v>
      </c>
      <c r="M198" s="23"/>
      <c r="N198" s="23"/>
      <c r="O198" s="23"/>
      <c r="P198" s="23"/>
      <c r="Q198" s="23"/>
      <c r="R198" s="23">
        <f>G198+K198+L198</f>
        <v>13500</v>
      </c>
      <c r="S198" s="25">
        <f>R198*6</f>
        <v>81000</v>
      </c>
    </row>
    <row r="199" spans="1:20" x14ac:dyDescent="0.25">
      <c r="A199" s="20" t="s">
        <v>274</v>
      </c>
      <c r="B199" s="21" t="s">
        <v>134</v>
      </c>
      <c r="C199" s="22">
        <v>0.25</v>
      </c>
      <c r="D199" s="22">
        <v>3</v>
      </c>
      <c r="E199" s="23">
        <v>942.5</v>
      </c>
      <c r="F199" s="22"/>
      <c r="G199" s="23">
        <f t="shared" si="83"/>
        <v>942.5</v>
      </c>
      <c r="H199" s="23"/>
      <c r="I199" s="23">
        <f>G199*0.1</f>
        <v>94.25</v>
      </c>
      <c r="J199" s="23"/>
      <c r="K199" s="23"/>
      <c r="L199" s="23"/>
      <c r="M199" s="23"/>
      <c r="N199" s="23"/>
      <c r="O199" s="23"/>
      <c r="P199" s="23">
        <f>8000*0.25-G199</f>
        <v>1057.5</v>
      </c>
      <c r="Q199" s="23"/>
      <c r="R199" s="23">
        <f>E199+I199+P199</f>
        <v>2094.25</v>
      </c>
      <c r="S199" s="25">
        <f>R199*6</f>
        <v>12565.5</v>
      </c>
    </row>
    <row r="200" spans="1:20" s="38" customFormat="1" x14ac:dyDescent="0.25">
      <c r="A200" s="20" t="s">
        <v>275</v>
      </c>
      <c r="B200" s="21" t="s">
        <v>267</v>
      </c>
      <c r="C200" s="22">
        <v>0.25</v>
      </c>
      <c r="D200" s="22">
        <v>1</v>
      </c>
      <c r="E200" s="23">
        <v>798.75</v>
      </c>
      <c r="F200" s="22"/>
      <c r="G200" s="23">
        <f t="shared" si="83"/>
        <v>798.75</v>
      </c>
      <c r="H200" s="23"/>
      <c r="I200" s="23"/>
      <c r="J200" s="23"/>
      <c r="K200" s="23"/>
      <c r="L200" s="23"/>
      <c r="M200" s="23"/>
      <c r="N200" s="23"/>
      <c r="O200" s="23"/>
      <c r="P200" s="23">
        <f>8000*0.25-G200</f>
        <v>1201.25</v>
      </c>
      <c r="Q200" s="23"/>
      <c r="R200" s="23">
        <f>E200+P200</f>
        <v>2000</v>
      </c>
      <c r="S200" s="25">
        <f>R200*3</f>
        <v>6000</v>
      </c>
    </row>
    <row r="201" spans="1:20" s="27" customFormat="1" ht="26.4" customHeight="1" thickBot="1" x14ac:dyDescent="0.3">
      <c r="A201" s="64"/>
      <c r="B201" s="47" t="s">
        <v>59</v>
      </c>
      <c r="C201" s="34">
        <f>SUM(C198:C200)</f>
        <v>1.5</v>
      </c>
      <c r="D201" s="34"/>
      <c r="E201" s="35">
        <f>SUM(E198:E200)</f>
        <v>7556.25</v>
      </c>
      <c r="F201" s="34">
        <f>SUM(F198:F200)</f>
        <v>0</v>
      </c>
      <c r="G201" s="35">
        <f t="shared" si="83"/>
        <v>7556.25</v>
      </c>
      <c r="H201" s="35"/>
      <c r="I201" s="35">
        <f>SUM(I199:I200)</f>
        <v>94.25</v>
      </c>
      <c r="J201" s="35"/>
      <c r="K201" s="35">
        <f>SUM(K198:K200)</f>
        <v>1744.5</v>
      </c>
      <c r="L201" s="35">
        <f>SUM(L198:L200)</f>
        <v>5940.5</v>
      </c>
      <c r="M201" s="35"/>
      <c r="N201" s="35"/>
      <c r="O201" s="35"/>
      <c r="P201" s="35">
        <f>P199+P200</f>
        <v>2258.75</v>
      </c>
      <c r="Q201" s="35"/>
      <c r="R201" s="35">
        <f>SUM(R198:R200)</f>
        <v>17594.25</v>
      </c>
      <c r="S201" s="36">
        <f>SUM(S198:S200)</f>
        <v>99565.5</v>
      </c>
    </row>
    <row r="202" spans="1:20" ht="22.2" customHeight="1" x14ac:dyDescent="0.25">
      <c r="A202" s="15"/>
      <c r="B202" s="55" t="s">
        <v>276</v>
      </c>
      <c r="C202" s="85"/>
      <c r="D202" s="85"/>
      <c r="E202" s="94"/>
      <c r="F202" s="85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110"/>
    </row>
    <row r="203" spans="1:20" x14ac:dyDescent="0.25">
      <c r="A203" s="20" t="s">
        <v>277</v>
      </c>
      <c r="B203" s="21" t="s">
        <v>220</v>
      </c>
      <c r="C203" s="22">
        <v>1</v>
      </c>
      <c r="D203" s="22">
        <v>10</v>
      </c>
      <c r="E203" s="23">
        <v>5815</v>
      </c>
      <c r="F203" s="22"/>
      <c r="G203" s="23">
        <f t="shared" ref="G203:G206" si="84">E203+F203</f>
        <v>5815</v>
      </c>
      <c r="H203" s="23"/>
      <c r="I203" s="23"/>
      <c r="J203" s="23"/>
      <c r="K203" s="23">
        <f>G203*0.3</f>
        <v>1744.5</v>
      </c>
      <c r="L203" s="23">
        <f>13500-G203-K203</f>
        <v>5940.5</v>
      </c>
      <c r="M203" s="23"/>
      <c r="N203" s="23"/>
      <c r="O203" s="23"/>
      <c r="P203" s="23"/>
      <c r="Q203" s="23"/>
      <c r="R203" s="23">
        <f>G203+K203+L203</f>
        <v>13500</v>
      </c>
      <c r="S203" s="25">
        <f>R203*6</f>
        <v>81000</v>
      </c>
    </row>
    <row r="204" spans="1:20" x14ac:dyDescent="0.25">
      <c r="A204" s="20" t="s">
        <v>278</v>
      </c>
      <c r="B204" s="21" t="s">
        <v>134</v>
      </c>
      <c r="C204" s="22">
        <v>0.25</v>
      </c>
      <c r="D204" s="22">
        <v>3</v>
      </c>
      <c r="E204" s="23">
        <v>942.5</v>
      </c>
      <c r="F204" s="22"/>
      <c r="G204" s="23">
        <f t="shared" si="84"/>
        <v>942.5</v>
      </c>
      <c r="H204" s="23"/>
      <c r="I204" s="23">
        <f>G204*0.1</f>
        <v>94.25</v>
      </c>
      <c r="J204" s="23"/>
      <c r="K204" s="23"/>
      <c r="L204" s="23"/>
      <c r="M204" s="23"/>
      <c r="N204" s="23"/>
      <c r="O204" s="23"/>
      <c r="P204" s="23">
        <f>8000*0.25-G204</f>
        <v>1057.5</v>
      </c>
      <c r="Q204" s="23"/>
      <c r="R204" s="23">
        <f>E204+I204+P204</f>
        <v>2094.25</v>
      </c>
      <c r="S204" s="25">
        <f>R204*6</f>
        <v>12565.5</v>
      </c>
    </row>
    <row r="205" spans="1:20" s="38" customFormat="1" x14ac:dyDescent="0.25">
      <c r="A205" s="20" t="s">
        <v>279</v>
      </c>
      <c r="B205" s="21" t="s">
        <v>267</v>
      </c>
      <c r="C205" s="22">
        <v>0.25</v>
      </c>
      <c r="D205" s="22">
        <v>1</v>
      </c>
      <c r="E205" s="23">
        <v>798.75</v>
      </c>
      <c r="F205" s="22"/>
      <c r="G205" s="23">
        <f t="shared" si="84"/>
        <v>798.75</v>
      </c>
      <c r="H205" s="23"/>
      <c r="I205" s="23"/>
      <c r="J205" s="23"/>
      <c r="K205" s="23"/>
      <c r="L205" s="23"/>
      <c r="M205" s="23"/>
      <c r="N205" s="23"/>
      <c r="O205" s="23"/>
      <c r="P205" s="23">
        <f>8000*0.25-G205</f>
        <v>1201.25</v>
      </c>
      <c r="Q205" s="23"/>
      <c r="R205" s="23">
        <f>E205+P205</f>
        <v>2000</v>
      </c>
      <c r="S205" s="25">
        <f>R205*3</f>
        <v>6000</v>
      </c>
    </row>
    <row r="206" spans="1:20" s="27" customFormat="1" ht="28.2" customHeight="1" thickBot="1" x14ac:dyDescent="0.3">
      <c r="A206" s="64"/>
      <c r="B206" s="47" t="s">
        <v>59</v>
      </c>
      <c r="C206" s="34">
        <f>SUM(C203:C205)</f>
        <v>1.5</v>
      </c>
      <c r="D206" s="34"/>
      <c r="E206" s="35">
        <f>SUM(E203:E205)</f>
        <v>7556.25</v>
      </c>
      <c r="F206" s="34">
        <f>SUM(F203:F205)</f>
        <v>0</v>
      </c>
      <c r="G206" s="35">
        <f t="shared" si="84"/>
        <v>7556.25</v>
      </c>
      <c r="H206" s="35"/>
      <c r="I206" s="35">
        <f>SUM(I204:I205)</f>
        <v>94.25</v>
      </c>
      <c r="J206" s="35"/>
      <c r="K206" s="35">
        <f>K203</f>
        <v>1744.5</v>
      </c>
      <c r="L206" s="35">
        <f>SUM(L203:L205)</f>
        <v>5940.5</v>
      </c>
      <c r="M206" s="35"/>
      <c r="N206" s="35"/>
      <c r="O206" s="35"/>
      <c r="P206" s="35">
        <f>P204+P205</f>
        <v>2258.75</v>
      </c>
      <c r="Q206" s="35"/>
      <c r="R206" s="35">
        <f>SUM(R203:R205)</f>
        <v>17594.25</v>
      </c>
      <c r="S206" s="36">
        <f>SUM(S203:S205)</f>
        <v>99565.5</v>
      </c>
    </row>
    <row r="207" spans="1:20" ht="24" customHeight="1" x14ac:dyDescent="0.25">
      <c r="A207" s="15"/>
      <c r="B207" s="55" t="s">
        <v>280</v>
      </c>
      <c r="C207" s="85"/>
      <c r="D207" s="85"/>
      <c r="E207" s="94"/>
      <c r="F207" s="85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110"/>
    </row>
    <row r="208" spans="1:20" x14ac:dyDescent="0.25">
      <c r="A208" s="20" t="s">
        <v>281</v>
      </c>
      <c r="B208" s="21" t="s">
        <v>130</v>
      </c>
      <c r="C208" s="22">
        <v>0.5</v>
      </c>
      <c r="D208" s="22">
        <v>8</v>
      </c>
      <c r="E208" s="23">
        <v>2620</v>
      </c>
      <c r="F208" s="22"/>
      <c r="G208" s="23">
        <f t="shared" ref="G208:G210" si="85">E208+F208</f>
        <v>2620</v>
      </c>
      <c r="H208" s="23"/>
      <c r="I208" s="23"/>
      <c r="J208" s="23"/>
      <c r="K208" s="23">
        <f>G208*0.3</f>
        <v>786</v>
      </c>
      <c r="L208" s="23">
        <f>R208-K208-G208</f>
        <v>3344</v>
      </c>
      <c r="M208" s="23"/>
      <c r="N208" s="23"/>
      <c r="O208" s="23"/>
      <c r="P208" s="23"/>
      <c r="Q208" s="23"/>
      <c r="R208" s="23">
        <v>6750</v>
      </c>
      <c r="S208" s="25">
        <f>R208*6</f>
        <v>40500</v>
      </c>
    </row>
    <row r="209" spans="1:20" s="38" customFormat="1" x14ac:dyDescent="0.25">
      <c r="A209" s="20" t="s">
        <v>282</v>
      </c>
      <c r="B209" s="21" t="s">
        <v>134</v>
      </c>
      <c r="C209" s="22">
        <v>0.5</v>
      </c>
      <c r="D209" s="22">
        <v>3</v>
      </c>
      <c r="E209" s="23">
        <v>1885</v>
      </c>
      <c r="F209" s="22"/>
      <c r="G209" s="23">
        <f t="shared" si="85"/>
        <v>1885</v>
      </c>
      <c r="H209" s="23"/>
      <c r="I209" s="23">
        <f>G209*0.1</f>
        <v>188.5</v>
      </c>
      <c r="J209" s="23"/>
      <c r="K209" s="23"/>
      <c r="L209" s="23"/>
      <c r="M209" s="23"/>
      <c r="N209" s="23"/>
      <c r="O209" s="23"/>
      <c r="P209" s="23">
        <f>8000/2-G209</f>
        <v>2115</v>
      </c>
      <c r="Q209" s="23"/>
      <c r="R209" s="23">
        <f>SUM(G209:Q209)</f>
        <v>4188.5</v>
      </c>
      <c r="S209" s="25">
        <f>R209*6</f>
        <v>25131</v>
      </c>
    </row>
    <row r="210" spans="1:20" s="27" customFormat="1" ht="25.8" customHeight="1" thickBot="1" x14ac:dyDescent="0.3">
      <c r="A210" s="64"/>
      <c r="B210" s="47" t="s">
        <v>59</v>
      </c>
      <c r="C210" s="34">
        <f>SUM(C208:C209)</f>
        <v>1</v>
      </c>
      <c r="D210" s="34"/>
      <c r="E210" s="35">
        <f>SUM(E208:E209)</f>
        <v>4505</v>
      </c>
      <c r="F210" s="34">
        <f>SUM(F208:F209)</f>
        <v>0</v>
      </c>
      <c r="G210" s="35">
        <f t="shared" si="85"/>
        <v>4505</v>
      </c>
      <c r="H210" s="35"/>
      <c r="I210" s="35">
        <f>SUM(I209)</f>
        <v>188.5</v>
      </c>
      <c r="J210" s="35"/>
      <c r="K210" s="35">
        <f>SUM(K208:K209)</f>
        <v>786</v>
      </c>
      <c r="L210" s="35">
        <f>SUM(L208:L209)</f>
        <v>3344</v>
      </c>
      <c r="M210" s="35"/>
      <c r="N210" s="35"/>
      <c r="O210" s="35"/>
      <c r="P210" s="35">
        <f>SUM(P209)</f>
        <v>2115</v>
      </c>
      <c r="Q210" s="35"/>
      <c r="R210" s="35">
        <f>SUM(R208:R209)</f>
        <v>10938.5</v>
      </c>
      <c r="S210" s="36">
        <f>SUM(S208:S209)</f>
        <v>65631</v>
      </c>
    </row>
    <row r="211" spans="1:20" ht="22.2" customHeight="1" x14ac:dyDescent="0.25">
      <c r="A211" s="15"/>
      <c r="B211" s="55" t="s">
        <v>283</v>
      </c>
      <c r="C211" s="85"/>
      <c r="D211" s="85"/>
      <c r="E211" s="94"/>
      <c r="F211" s="85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110"/>
    </row>
    <row r="212" spans="1:20" s="13" customFormat="1" x14ac:dyDescent="0.25">
      <c r="A212" s="20" t="s">
        <v>284</v>
      </c>
      <c r="B212" s="66" t="s">
        <v>130</v>
      </c>
      <c r="C212" s="22">
        <v>0.5</v>
      </c>
      <c r="D212" s="22">
        <v>10</v>
      </c>
      <c r="E212" s="23">
        <v>2907.5</v>
      </c>
      <c r="F212" s="22"/>
      <c r="G212" s="23">
        <f t="shared" ref="G212:G215" si="86">E212+F212</f>
        <v>2907.5</v>
      </c>
      <c r="H212" s="23"/>
      <c r="I212" s="23"/>
      <c r="J212" s="23"/>
      <c r="K212" s="23">
        <f>G212*0.3</f>
        <v>872.25</v>
      </c>
      <c r="L212" s="23">
        <f>13500/2-G212-K212</f>
        <v>2970.25</v>
      </c>
      <c r="M212" s="23"/>
      <c r="N212" s="23"/>
      <c r="O212" s="23"/>
      <c r="P212" s="23"/>
      <c r="Q212" s="23"/>
      <c r="R212" s="23">
        <f>G212+K212+L212</f>
        <v>6750</v>
      </c>
      <c r="S212" s="25">
        <f>R212*6</f>
        <v>40500</v>
      </c>
    </row>
    <row r="213" spans="1:20" x14ac:dyDescent="0.25">
      <c r="A213" s="20" t="s">
        <v>285</v>
      </c>
      <c r="B213" s="21" t="s">
        <v>134</v>
      </c>
      <c r="C213" s="22">
        <v>0.5</v>
      </c>
      <c r="D213" s="22">
        <v>3</v>
      </c>
      <c r="E213" s="23">
        <v>1885</v>
      </c>
      <c r="F213" s="22"/>
      <c r="G213" s="23">
        <f t="shared" si="86"/>
        <v>1885</v>
      </c>
      <c r="H213" s="23"/>
      <c r="I213" s="23">
        <f>G213*0.1</f>
        <v>188.5</v>
      </c>
      <c r="J213" s="23"/>
      <c r="K213" s="23"/>
      <c r="L213" s="23"/>
      <c r="M213" s="23"/>
      <c r="N213" s="23"/>
      <c r="O213" s="23"/>
      <c r="P213" s="23">
        <f>8000/2-G213</f>
        <v>2115</v>
      </c>
      <c r="Q213" s="23"/>
      <c r="R213" s="23">
        <f>SUM(G213:Q213)</f>
        <v>4188.5</v>
      </c>
      <c r="S213" s="25">
        <f>R213*6</f>
        <v>25131</v>
      </c>
    </row>
    <row r="214" spans="1:20" x14ac:dyDescent="0.25">
      <c r="A214" s="20" t="s">
        <v>286</v>
      </c>
      <c r="B214" s="21" t="s">
        <v>227</v>
      </c>
      <c r="C214" s="22">
        <v>1</v>
      </c>
      <c r="D214" s="22">
        <v>1</v>
      </c>
      <c r="E214" s="23">
        <v>3195</v>
      </c>
      <c r="F214" s="22"/>
      <c r="G214" s="23">
        <f t="shared" si="86"/>
        <v>3195</v>
      </c>
      <c r="H214" s="23"/>
      <c r="I214" s="23"/>
      <c r="J214" s="23"/>
      <c r="K214" s="23"/>
      <c r="L214" s="23"/>
      <c r="M214" s="23"/>
      <c r="N214" s="23"/>
      <c r="O214" s="23"/>
      <c r="P214" s="23">
        <f>8000-G214</f>
        <v>4805</v>
      </c>
      <c r="Q214" s="23"/>
      <c r="R214" s="23">
        <f>E214+P214</f>
        <v>8000</v>
      </c>
      <c r="S214" s="25">
        <f>R214*3</f>
        <v>24000</v>
      </c>
    </row>
    <row r="215" spans="1:20" s="49" customFormat="1" ht="26.4" customHeight="1" thickBot="1" x14ac:dyDescent="0.3">
      <c r="A215" s="118"/>
      <c r="B215" s="47" t="s">
        <v>59</v>
      </c>
      <c r="C215" s="34">
        <f>SUM(C212:C214)</f>
        <v>2</v>
      </c>
      <c r="D215" s="34"/>
      <c r="E215" s="35">
        <f>SUM(E212:E214)</f>
        <v>7987.5</v>
      </c>
      <c r="F215" s="34">
        <f>SUM(F212:F214)</f>
        <v>0</v>
      </c>
      <c r="G215" s="35">
        <f t="shared" si="86"/>
        <v>7987.5</v>
      </c>
      <c r="H215" s="35"/>
      <c r="I215" s="35">
        <f>SUM(I213:I214)</f>
        <v>188.5</v>
      </c>
      <c r="J215" s="35"/>
      <c r="K215" s="35">
        <f>SUM(K212:K214)</f>
        <v>872.25</v>
      </c>
      <c r="L215" s="35">
        <f>SUM(L212:L214)</f>
        <v>2970.25</v>
      </c>
      <c r="M215" s="35"/>
      <c r="N215" s="35"/>
      <c r="O215" s="35"/>
      <c r="P215" s="35">
        <f>P213+P214</f>
        <v>6920</v>
      </c>
      <c r="Q215" s="35"/>
      <c r="R215" s="35">
        <f>SUM(R212:R214)</f>
        <v>18938.5</v>
      </c>
      <c r="S215" s="36">
        <f>SUM(S212:S214)</f>
        <v>89631</v>
      </c>
    </row>
    <row r="216" spans="1:20" ht="21" customHeight="1" x14ac:dyDescent="0.25">
      <c r="A216" s="15"/>
      <c r="B216" s="55" t="s">
        <v>287</v>
      </c>
      <c r="C216" s="85"/>
      <c r="D216" s="85"/>
      <c r="E216" s="94"/>
      <c r="F216" s="85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110"/>
    </row>
    <row r="217" spans="1:20" x14ac:dyDescent="0.25">
      <c r="A217" s="20" t="s">
        <v>288</v>
      </c>
      <c r="B217" s="21" t="s">
        <v>220</v>
      </c>
      <c r="C217" s="22">
        <v>1</v>
      </c>
      <c r="D217" s="22">
        <v>10</v>
      </c>
      <c r="E217" s="23">
        <v>5815</v>
      </c>
      <c r="F217" s="22"/>
      <c r="G217" s="23">
        <f t="shared" ref="G217:G221" si="87">E217+F217</f>
        <v>5815</v>
      </c>
      <c r="H217" s="23"/>
      <c r="I217" s="23"/>
      <c r="J217" s="23"/>
      <c r="K217" s="23">
        <f>G217*0.3</f>
        <v>1744.5</v>
      </c>
      <c r="L217" s="23">
        <f>R217-K217-G217</f>
        <v>5940.5</v>
      </c>
      <c r="M217" s="23"/>
      <c r="N217" s="23"/>
      <c r="O217" s="23"/>
      <c r="P217" s="23"/>
      <c r="Q217" s="23"/>
      <c r="R217" s="23">
        <v>13500</v>
      </c>
      <c r="S217" s="25">
        <f>R217*6</f>
        <v>81000</v>
      </c>
    </row>
    <row r="218" spans="1:20" x14ac:dyDescent="0.25">
      <c r="A218" s="20" t="s">
        <v>289</v>
      </c>
      <c r="B218" s="21" t="s">
        <v>130</v>
      </c>
      <c r="C218" s="22">
        <v>1</v>
      </c>
      <c r="D218" s="22">
        <v>7</v>
      </c>
      <c r="E218" s="23">
        <v>4920</v>
      </c>
      <c r="F218" s="22"/>
      <c r="G218" s="23">
        <f t="shared" si="87"/>
        <v>4920</v>
      </c>
      <c r="H218" s="23"/>
      <c r="I218" s="23">
        <f>G218*0.1</f>
        <v>492</v>
      </c>
      <c r="J218" s="23"/>
      <c r="K218" s="23">
        <f>G218*0.3</f>
        <v>1476</v>
      </c>
      <c r="L218" s="23">
        <f>13500-G218-I218-K218</f>
        <v>6612</v>
      </c>
      <c r="M218" s="23"/>
      <c r="N218" s="23"/>
      <c r="O218" s="23"/>
      <c r="P218" s="23"/>
      <c r="Q218" s="23"/>
      <c r="R218" s="23">
        <f>G218+I218+K218+L218</f>
        <v>13500</v>
      </c>
      <c r="S218" s="25">
        <f t="shared" ref="S218:S219" si="88">R218*6</f>
        <v>81000</v>
      </c>
    </row>
    <row r="219" spans="1:20" x14ac:dyDescent="0.25">
      <c r="A219" s="20" t="s">
        <v>290</v>
      </c>
      <c r="B219" s="21" t="s">
        <v>134</v>
      </c>
      <c r="C219" s="22">
        <v>1</v>
      </c>
      <c r="D219" s="22">
        <v>3</v>
      </c>
      <c r="E219" s="23">
        <v>3770</v>
      </c>
      <c r="F219" s="22"/>
      <c r="G219" s="23">
        <f t="shared" si="87"/>
        <v>3770</v>
      </c>
      <c r="H219" s="23"/>
      <c r="I219" s="23">
        <f>G219*0.1</f>
        <v>377</v>
      </c>
      <c r="J219" s="23"/>
      <c r="K219" s="23"/>
      <c r="L219" s="23"/>
      <c r="M219" s="23"/>
      <c r="N219" s="23"/>
      <c r="O219" s="23"/>
      <c r="P219" s="23">
        <f>8000-G219</f>
        <v>4230</v>
      </c>
      <c r="Q219" s="23"/>
      <c r="R219" s="23">
        <f>SUM(G219:Q219)</f>
        <v>8377</v>
      </c>
      <c r="S219" s="25">
        <f t="shared" si="88"/>
        <v>50262</v>
      </c>
    </row>
    <row r="220" spans="1:20" x14ac:dyDescent="0.25">
      <c r="A220" s="20" t="s">
        <v>291</v>
      </c>
      <c r="B220" s="21" t="s">
        <v>227</v>
      </c>
      <c r="C220" s="22">
        <v>1.5</v>
      </c>
      <c r="D220" s="22">
        <v>1</v>
      </c>
      <c r="E220" s="23">
        <f>3195*C220</f>
        <v>4792.5</v>
      </c>
      <c r="F220" s="22"/>
      <c r="G220" s="23">
        <f t="shared" si="87"/>
        <v>4792.5</v>
      </c>
      <c r="H220" s="23"/>
      <c r="I220" s="23"/>
      <c r="J220" s="23"/>
      <c r="K220" s="23"/>
      <c r="L220" s="23"/>
      <c r="M220" s="23"/>
      <c r="N220" s="23"/>
      <c r="O220" s="23"/>
      <c r="P220" s="23">
        <f>8000*C220-G220</f>
        <v>7207.5</v>
      </c>
      <c r="Q220" s="23"/>
      <c r="R220" s="23">
        <f>E220+P220</f>
        <v>12000</v>
      </c>
      <c r="S220" s="25">
        <f>R220*3</f>
        <v>36000</v>
      </c>
    </row>
    <row r="221" spans="1:20" s="27" customFormat="1" ht="26.4" customHeight="1" thickBot="1" x14ac:dyDescent="0.3">
      <c r="A221" s="64"/>
      <c r="B221" s="47" t="s">
        <v>59</v>
      </c>
      <c r="C221" s="34">
        <f>SUM(C217:C220)</f>
        <v>4.5</v>
      </c>
      <c r="D221" s="34"/>
      <c r="E221" s="35">
        <f>SUM(E217:E220)</f>
        <v>19297.5</v>
      </c>
      <c r="F221" s="34">
        <f>SUM(F217:F220)</f>
        <v>0</v>
      </c>
      <c r="G221" s="35">
        <f t="shared" si="87"/>
        <v>19297.5</v>
      </c>
      <c r="H221" s="35"/>
      <c r="I221" s="35">
        <f>SUM(I218:I220)</f>
        <v>869</v>
      </c>
      <c r="J221" s="35"/>
      <c r="K221" s="35">
        <f>K217+K218</f>
        <v>3220.5</v>
      </c>
      <c r="L221" s="35">
        <f>L217+L218</f>
        <v>12552.5</v>
      </c>
      <c r="M221" s="35"/>
      <c r="N221" s="35"/>
      <c r="O221" s="35"/>
      <c r="P221" s="35">
        <f>SUM(P217:P220)</f>
        <v>11437.5</v>
      </c>
      <c r="Q221" s="35"/>
      <c r="R221" s="35">
        <f>SUM(R217:R220)</f>
        <v>47377</v>
      </c>
      <c r="S221" s="36">
        <f>SUM(S217:S220)</f>
        <v>248262</v>
      </c>
    </row>
    <row r="222" spans="1:20" s="13" customFormat="1" ht="22.2" customHeight="1" x14ac:dyDescent="0.2">
      <c r="A222" s="18"/>
      <c r="B222" s="55" t="s">
        <v>292</v>
      </c>
      <c r="C222" s="85"/>
      <c r="D222" s="85"/>
      <c r="E222" s="94"/>
      <c r="F222" s="85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110"/>
    </row>
    <row r="223" spans="1:20" x14ac:dyDescent="0.25">
      <c r="A223" s="20" t="s">
        <v>293</v>
      </c>
      <c r="B223" s="21" t="s">
        <v>220</v>
      </c>
      <c r="C223" s="22">
        <v>1</v>
      </c>
      <c r="D223" s="22">
        <v>10</v>
      </c>
      <c r="E223" s="23">
        <v>5815</v>
      </c>
      <c r="F223" s="22"/>
      <c r="G223" s="23">
        <f t="shared" ref="G223:G225" si="89">E223+F223</f>
        <v>5815</v>
      </c>
      <c r="H223" s="23"/>
      <c r="I223" s="23"/>
      <c r="J223" s="23"/>
      <c r="K223" s="23">
        <f>G223*0.3</f>
        <v>1744.5</v>
      </c>
      <c r="L223" s="23">
        <f>R223-K223-G223</f>
        <v>5940.5</v>
      </c>
      <c r="M223" s="23"/>
      <c r="N223" s="23"/>
      <c r="O223" s="23"/>
      <c r="P223" s="23"/>
      <c r="Q223" s="23"/>
      <c r="R223" s="23">
        <v>13500</v>
      </c>
      <c r="S223" s="25">
        <f>R223*6</f>
        <v>81000</v>
      </c>
    </row>
    <row r="224" spans="1:20" s="38" customFormat="1" x14ac:dyDescent="0.25">
      <c r="A224" s="20" t="s">
        <v>294</v>
      </c>
      <c r="B224" s="21" t="s">
        <v>134</v>
      </c>
      <c r="C224" s="22">
        <v>0.5</v>
      </c>
      <c r="D224" s="22">
        <v>3</v>
      </c>
      <c r="E224" s="23">
        <v>1885</v>
      </c>
      <c r="F224" s="22"/>
      <c r="G224" s="23">
        <f t="shared" si="89"/>
        <v>1885</v>
      </c>
      <c r="H224" s="23"/>
      <c r="I224" s="23">
        <f>G224*0.1</f>
        <v>188.5</v>
      </c>
      <c r="J224" s="23"/>
      <c r="K224" s="23"/>
      <c r="L224" s="23"/>
      <c r="M224" s="23"/>
      <c r="N224" s="23"/>
      <c r="O224" s="23"/>
      <c r="P224" s="23">
        <f>8000/2-G224</f>
        <v>2115</v>
      </c>
      <c r="Q224" s="23"/>
      <c r="R224" s="23">
        <f>SUM(G224:Q224)</f>
        <v>4188.5</v>
      </c>
      <c r="S224" s="25">
        <f>R224*6</f>
        <v>25131</v>
      </c>
      <c r="T224" s="46"/>
    </row>
    <row r="225" spans="1:19" s="27" customFormat="1" ht="27.6" customHeight="1" thickBot="1" x14ac:dyDescent="0.3">
      <c r="A225" s="64"/>
      <c r="B225" s="47" t="s">
        <v>59</v>
      </c>
      <c r="C225" s="34">
        <f>SUM(C223:C224)</f>
        <v>1.5</v>
      </c>
      <c r="D225" s="34"/>
      <c r="E225" s="35">
        <f>SUM(E223:E224)</f>
        <v>7700</v>
      </c>
      <c r="F225" s="34">
        <f>SUM(F223:F224)</f>
        <v>0</v>
      </c>
      <c r="G225" s="35">
        <f t="shared" si="89"/>
        <v>7700</v>
      </c>
      <c r="H225" s="35"/>
      <c r="I225" s="35">
        <f>SUM(I224)</f>
        <v>188.5</v>
      </c>
      <c r="J225" s="35"/>
      <c r="K225" s="35">
        <f>SUM(K223:K224)</f>
        <v>1744.5</v>
      </c>
      <c r="L225" s="35">
        <f>SUM(L223:L224)</f>
        <v>5940.5</v>
      </c>
      <c r="M225" s="35"/>
      <c r="N225" s="35"/>
      <c r="O225" s="35"/>
      <c r="P225" s="35">
        <f>SUM(P224)</f>
        <v>2115</v>
      </c>
      <c r="Q225" s="35"/>
      <c r="R225" s="35">
        <f>SUM(R223:R224)</f>
        <v>17688.5</v>
      </c>
      <c r="S225" s="36">
        <f>SUM(S223:S224)</f>
        <v>106131</v>
      </c>
    </row>
    <row r="226" spans="1:19" ht="22.2" customHeight="1" x14ac:dyDescent="0.25">
      <c r="A226" s="15"/>
      <c r="B226" s="55" t="s">
        <v>295</v>
      </c>
      <c r="C226" s="85"/>
      <c r="D226" s="85"/>
      <c r="E226" s="94"/>
      <c r="F226" s="85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110"/>
    </row>
    <row r="227" spans="1:19" x14ac:dyDescent="0.25">
      <c r="A227" s="20" t="s">
        <v>296</v>
      </c>
      <c r="B227" s="21" t="s">
        <v>130</v>
      </c>
      <c r="C227" s="22">
        <v>0.5</v>
      </c>
      <c r="D227" s="22">
        <v>10</v>
      </c>
      <c r="E227" s="23">
        <v>2907.5</v>
      </c>
      <c r="F227" s="22"/>
      <c r="G227" s="23">
        <f t="shared" ref="G227:G228" si="90">E227+F227</f>
        <v>2907.5</v>
      </c>
      <c r="H227" s="23"/>
      <c r="I227" s="23"/>
      <c r="J227" s="23"/>
      <c r="K227" s="23">
        <f>G227*0.3</f>
        <v>872.25</v>
      </c>
      <c r="L227" s="23">
        <f>13500/2-G227-K227</f>
        <v>2970.25</v>
      </c>
      <c r="M227" s="23"/>
      <c r="N227" s="23"/>
      <c r="O227" s="23"/>
      <c r="P227" s="23"/>
      <c r="Q227" s="23"/>
      <c r="R227" s="23">
        <f>G227+K227+L227</f>
        <v>6750</v>
      </c>
      <c r="S227" s="25">
        <f>R227*6</f>
        <v>40500</v>
      </c>
    </row>
    <row r="228" spans="1:19" s="27" customFormat="1" ht="25.8" customHeight="1" thickBot="1" x14ac:dyDescent="0.3">
      <c r="A228" s="64"/>
      <c r="B228" s="47" t="s">
        <v>59</v>
      </c>
      <c r="C228" s="34">
        <f>SUM(C227:C227)</f>
        <v>0.5</v>
      </c>
      <c r="D228" s="34"/>
      <c r="E228" s="35">
        <f>SUM(E227:E227)</f>
        <v>2907.5</v>
      </c>
      <c r="F228" s="34">
        <f>SUM(F227:F227)</f>
        <v>0</v>
      </c>
      <c r="G228" s="35">
        <f t="shared" si="90"/>
        <v>2907.5</v>
      </c>
      <c r="H228" s="35"/>
      <c r="I228" s="35">
        <v>0</v>
      </c>
      <c r="J228" s="35"/>
      <c r="K228" s="35">
        <f>SUM(K227:K227)</f>
        <v>872.25</v>
      </c>
      <c r="L228" s="35">
        <f>SUM(L227:L227)</f>
        <v>2970.25</v>
      </c>
      <c r="M228" s="35"/>
      <c r="N228" s="35"/>
      <c r="O228" s="35"/>
      <c r="P228" s="35">
        <v>0</v>
      </c>
      <c r="Q228" s="35"/>
      <c r="R228" s="35">
        <f>SUM(R227:R227)</f>
        <v>6750</v>
      </c>
      <c r="S228" s="36">
        <f>SUM(S227:S227)</f>
        <v>40500</v>
      </c>
    </row>
    <row r="229" spans="1:19" ht="18.600000000000001" customHeight="1" x14ac:dyDescent="0.25">
      <c r="A229" s="15"/>
      <c r="B229" s="55" t="s">
        <v>298</v>
      </c>
      <c r="C229" s="85"/>
      <c r="D229" s="85"/>
      <c r="E229" s="94"/>
      <c r="F229" s="85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110"/>
    </row>
    <row r="230" spans="1:19" x14ac:dyDescent="0.25">
      <c r="A230" s="20" t="s">
        <v>299</v>
      </c>
      <c r="B230" s="21" t="s">
        <v>130</v>
      </c>
      <c r="C230" s="22">
        <v>0.5</v>
      </c>
      <c r="D230" s="22">
        <v>10</v>
      </c>
      <c r="E230" s="23">
        <v>2907.5</v>
      </c>
      <c r="F230" s="22"/>
      <c r="G230" s="23">
        <f t="shared" ref="G230:G232" si="91">E230+F230</f>
        <v>2907.5</v>
      </c>
      <c r="H230" s="23"/>
      <c r="I230" s="23"/>
      <c r="J230" s="23"/>
      <c r="K230" s="23">
        <f>G230*0.3</f>
        <v>872.25</v>
      </c>
      <c r="L230" s="23">
        <f>13500/2-G230-K230</f>
        <v>2970.25</v>
      </c>
      <c r="M230" s="23"/>
      <c r="N230" s="23"/>
      <c r="O230" s="23"/>
      <c r="P230" s="23"/>
      <c r="Q230" s="23"/>
      <c r="R230" s="23">
        <f>G230+K230+L230</f>
        <v>6750</v>
      </c>
      <c r="S230" s="25">
        <f>R230*6</f>
        <v>40500</v>
      </c>
    </row>
    <row r="231" spans="1:19" s="38" customFormat="1" x14ac:dyDescent="0.25">
      <c r="A231" s="20" t="s">
        <v>300</v>
      </c>
      <c r="B231" s="21" t="s">
        <v>134</v>
      </c>
      <c r="C231" s="22">
        <v>0.25</v>
      </c>
      <c r="D231" s="22">
        <v>3</v>
      </c>
      <c r="E231" s="23">
        <v>942.5</v>
      </c>
      <c r="F231" s="22"/>
      <c r="G231" s="23">
        <f t="shared" si="91"/>
        <v>942.5</v>
      </c>
      <c r="H231" s="23"/>
      <c r="I231" s="23">
        <f>G231*0.1</f>
        <v>94.25</v>
      </c>
      <c r="J231" s="23"/>
      <c r="K231" s="23"/>
      <c r="L231" s="23"/>
      <c r="M231" s="23"/>
      <c r="N231" s="23"/>
      <c r="O231" s="23"/>
      <c r="P231" s="23">
        <f>8000*0.25-G231</f>
        <v>1057.5</v>
      </c>
      <c r="Q231" s="23"/>
      <c r="R231" s="23">
        <f>E231+I231+P231</f>
        <v>2094.25</v>
      </c>
      <c r="S231" s="25">
        <f>R231*7</f>
        <v>14659.75</v>
      </c>
    </row>
    <row r="232" spans="1:19" s="27" customFormat="1" ht="27" customHeight="1" thickBot="1" x14ac:dyDescent="0.3">
      <c r="A232" s="64"/>
      <c r="B232" s="47" t="s">
        <v>59</v>
      </c>
      <c r="C232" s="34">
        <f>SUM(C230:C231)</f>
        <v>0.75</v>
      </c>
      <c r="D232" s="34"/>
      <c r="E232" s="35">
        <f>SUM(E230:E231)</f>
        <v>3850</v>
      </c>
      <c r="F232" s="34">
        <f>SUM(F230:F231)</f>
        <v>0</v>
      </c>
      <c r="G232" s="35">
        <f t="shared" si="91"/>
        <v>3850</v>
      </c>
      <c r="H232" s="35"/>
      <c r="I232" s="35">
        <f>SUM(I231)</f>
        <v>94.25</v>
      </c>
      <c r="J232" s="35"/>
      <c r="K232" s="35">
        <f>SUM(K230:K231)</f>
        <v>872.25</v>
      </c>
      <c r="L232" s="35">
        <f>SUM(L230:L231)</f>
        <v>2970.25</v>
      </c>
      <c r="M232" s="35"/>
      <c r="N232" s="35"/>
      <c r="O232" s="35"/>
      <c r="P232" s="35">
        <f>SUM(P231)</f>
        <v>1057.5</v>
      </c>
      <c r="Q232" s="35"/>
      <c r="R232" s="35">
        <f>SUM(R230:R231)</f>
        <v>8844.25</v>
      </c>
      <c r="S232" s="36">
        <f>SUM(S230:S231)</f>
        <v>55159.75</v>
      </c>
    </row>
    <row r="233" spans="1:19" s="49" customFormat="1" ht="23.25" customHeight="1" thickBot="1" x14ac:dyDescent="0.3">
      <c r="A233" s="67"/>
      <c r="B233" s="119" t="s">
        <v>301</v>
      </c>
      <c r="C233" s="120">
        <f>C27+C38+C46+C41+C54+C60+C81+C127+C111+C117+C140+C151+C157+C164+C171+C180+C185+C225+C221+C215+C201+C206+C228+C232+C191+C210+C196+C144+C121</f>
        <v>190.5</v>
      </c>
      <c r="D233" s="121"/>
      <c r="E233" s="120">
        <f t="shared" ref="E233:S233" si="92">E27+E38+E46+E41+E54+E60+E81+E127+E111+E117+E140+E151+E157+E164+E171+E180+E185+E221+E225+E215+E201+E206+E228+E191+E210+E196+E144+E232+E121</f>
        <v>1089234.5</v>
      </c>
      <c r="F233" s="120">
        <f t="shared" si="92"/>
        <v>29965.512499999997</v>
      </c>
      <c r="G233" s="120">
        <f t="shared" si="92"/>
        <v>1119200.0125000002</v>
      </c>
      <c r="H233" s="120">
        <f t="shared" si="92"/>
        <v>23683.75</v>
      </c>
      <c r="I233" s="120">
        <f t="shared" si="92"/>
        <v>26865.276249999999</v>
      </c>
      <c r="J233" s="120">
        <f t="shared" si="92"/>
        <v>491.82400000000001</v>
      </c>
      <c r="K233" s="120">
        <f t="shared" si="92"/>
        <v>220659.43874999994</v>
      </c>
      <c r="L233" s="120">
        <f t="shared" si="92"/>
        <v>900329.73749999993</v>
      </c>
      <c r="M233" s="120">
        <f t="shared" si="92"/>
        <v>3750</v>
      </c>
      <c r="N233" s="120">
        <f t="shared" si="92"/>
        <v>24538.915000000001</v>
      </c>
      <c r="O233" s="120">
        <f t="shared" si="92"/>
        <v>141900.25</v>
      </c>
      <c r="P233" s="120">
        <f t="shared" si="92"/>
        <v>245812</v>
      </c>
      <c r="Q233" s="120">
        <f t="shared" si="92"/>
        <v>0</v>
      </c>
      <c r="R233" s="120">
        <f t="shared" si="92"/>
        <v>2706996.9039999996</v>
      </c>
      <c r="S233" s="120">
        <f t="shared" si="92"/>
        <v>16112075.674000001</v>
      </c>
    </row>
    <row r="234" spans="1:19" ht="12.6" thickBot="1" x14ac:dyDescent="0.3">
      <c r="F234" s="13"/>
      <c r="I234" s="68"/>
    </row>
    <row r="235" spans="1:19" ht="15.6" customHeight="1" x14ac:dyDescent="0.25">
      <c r="B235" s="69" t="s">
        <v>302</v>
      </c>
      <c r="C235" s="70">
        <f>C48+C49+C56+C57+C58+C63+C64+C65+C66+C67+C68+C123+C124+C83+C84+C85+C86+C87+C88+C89+C100+C94+C90+C95+C91+C74+C98+C96+C93+C92+C101+C99+C102+C113+C114+C133+C129+C134+C135+C146+C153+C159+C166+C173+C174+C175+C182+C141+C69+C70+C71+C72+C73+C119+C120+C97</f>
        <v>49.75</v>
      </c>
      <c r="D235" s="70"/>
      <c r="E235" s="70">
        <f>E48+E49+E56+E57+E58+E63+E64+E65+E66+E67+E68+E123+E124+E83+E84+E85+E86+E87+E88+E89+E100+E94+E90+E95+E91+E74+E98+E96+E93+E92+E101+E99+E102+E113+E114+E133+E129+E134+E135+E146+E153+E159+E166+E173+E174+E175+E182+E141+E69+E70+E71+E72+E73+E119+E120+E97</f>
        <v>345906</v>
      </c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>
        <f t="shared" ref="Q235" si="93">Q48+Q49+Q56+Q57+Q58+Q63+Q64+Q65+Q66+Q67+Q68+Q123+Q124+Q83+Q84+Q85+Q86+Q87+Q88+Q89+Q100+Q94+Q90+Q95+Q91+Q74+Q98+Q96+Q93+Q92+Q101+Q99+Q102+Q113+Q114+Q133+Q129+Q134+Q135+Q146+Q153+Q159+Q166+Q173+Q174+Q175+Q182+Q141+Q69+Q70+Q71+Q72+Q73+Q119+Q120</f>
        <v>0</v>
      </c>
      <c r="R235" s="70">
        <f>R48+R49+R56+R57+R58+R63+R64+R65+R66+R67+R68+R123+R124+R83+R84+R85+R86+R87+R88+R89+R100+R94+R90+R95+R91+R74+R98+R96+R93+R92+R101+R99+R102+R113+R114+R133+R129+R134+R135+R146+R153+R159+R166+R173+R174+R175+R182+R141+R69+R70+R71+R72+R73+R119+R120+R97</f>
        <v>990000</v>
      </c>
      <c r="S235" s="70">
        <f>S48+S49+S56+S57+S58+S63+S64+S65+S66+S67+S68+S123+S124+S83+S84+S85+S86+S87+S88+S89+S100+S94+S90+S95+S91+S74+S98+S96+S93+S92+S101+S99+S102+S113+S114+S133+S129+S134+S135+S146+S153+S159+S166+S173+S174+S175+S182+S141+S69+S70+S71+S72+S73+S119+S120+S97</f>
        <v>5940000</v>
      </c>
    </row>
    <row r="236" spans="1:19" ht="15.6" customHeight="1" x14ac:dyDescent="0.25">
      <c r="B236" s="71" t="s">
        <v>303</v>
      </c>
      <c r="C236" s="72">
        <f>C17+C50+C53+C75+C76+C77+C125+C103+C106+C107+C104+C105+C108+C115+C130+C136+C137+C138+C147+C154+C155+C160+C161+C167+C168+C176+C177+C183+C218+C217+C223+C212+C198+C203+C227+C188+C208+C193+C142+C230</f>
        <v>69</v>
      </c>
      <c r="D236" s="72"/>
      <c r="E236" s="123">
        <f>E17+E50+E53+E75+E76+E77+E125+E103+E106+E107+E104+E105+E108+E115+E130+E136+E137+E138+E147+E154+E155+E160+E161+E167+E168+E176+E177+E183+E218+E217+E223+E212+E198+E203+E227+E188+E208+E193+E142+E230</f>
        <v>387530</v>
      </c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>
        <f>Q17+Q50+Q53+Q75+Q76+Q77+Q125+Q103+Q106+Q107+Q104+Q105+Q108+Q115+Q130+Q136+Q137+Q138+Q147+Q154+Q155+Q160+Q161+Q167+Q168+Q176+Q177+Q183+Q218+Q217+Q223+Q212+Q198+Q203+Q227+Q188+Q208+Q193+Q142+Q230</f>
        <v>0</v>
      </c>
      <c r="R236" s="72">
        <f>R17+R50+R53+R75+R76+R77+R125+R103+R106+R107+R104+R105+R108+R115+R130+R136+R137+R138+R147+R154+R155+R160+R161+R167+R168+R176+R177+R183+R218+R217+R223+R212+R198+R203+R227+R188+R208+R193+R142+R230</f>
        <v>940097</v>
      </c>
      <c r="S236" s="89">
        <f>S17+S50+S53+S75+S76+S77+S125+S103+S106+S107+S104+S105+S108+S115+S130+S136+S137+S138+S147+S154+S155+S160+S161+S167+S168+S176+S177+S183+S218+S217+S223+S212+S198+S203+S227+S188+S208+S193+S142+S230</f>
        <v>5640582</v>
      </c>
    </row>
    <row r="237" spans="1:19" ht="15.6" customHeight="1" x14ac:dyDescent="0.25">
      <c r="B237" s="71" t="s">
        <v>304</v>
      </c>
      <c r="C237" s="72">
        <f>C78+C79+C126+C110+C116+C139+C148+C156+C162+C169+C178+C184+C219+C224+C213+C199+C204+C189+C209+C194+C231</f>
        <v>26.75</v>
      </c>
      <c r="D237" s="72"/>
      <c r="E237" s="123">
        <f>E78+E79+E126+E110+E116+E139+E148+E156+E162+E169+E178+E184+E219+E224+E213+E199+E204+E189+E209+E194+E231</f>
        <v>103295.5</v>
      </c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 t="e">
        <f>Q78+Q79+Q126+Q110+Q116+Q139+Q148+Q156+Q162+Q169+Q178+Q184+Q219+Q224+Q213+Q199+Q204+#REF!+Q189+Q209+Q194+Q231</f>
        <v>#REF!</v>
      </c>
      <c r="R237" s="123">
        <f>R78+R79+R126+R110+R116+R139+R148+R156+R162+R169+R178+R184+R219+R224+R213+R199+R204+R189+R209+R194+R231</f>
        <v>230288.83</v>
      </c>
      <c r="S237" s="124">
        <f>S78+S79+S126+S110+S116+S139+S148+S156+S162+S169+S178+S184+S219+S224+S213+S199+S204+S189+S209+S194+S231</f>
        <v>1383827.23</v>
      </c>
    </row>
    <row r="238" spans="1:19" ht="15.6" customHeight="1" x14ac:dyDescent="0.25">
      <c r="B238" s="71" t="s">
        <v>305</v>
      </c>
      <c r="C238" s="72">
        <f>C14+C15+C16+C18+C19+C20+C21+C22+C23+C24+C25+C26+C29+C31+C32+C33+C35+C36+C37+C43+C44+C45+C40+C51+C52+C59+C80+C109+C149+C150+C163+C170+C179+C220+C214+C200+C205+C190+C195+C143+C34+C30</f>
        <v>45</v>
      </c>
      <c r="D238" s="72"/>
      <c r="E238" s="123">
        <f>E14+E15+E16+E18+E19+E20+E21+E22+E23+E24+E25+E26+E29+E31+E32+E33+E35+E36+E37+E43+E44+E45+E40+E51+E52+E59+E80+E109+E149+E150+E163+E170+E179+E220+E214+E200+E205+E190+E195+E143+E34+E30</f>
        <v>252503</v>
      </c>
      <c r="F238" s="72"/>
      <c r="G238" s="72"/>
      <c r="H238" s="72" t="s">
        <v>8</v>
      </c>
      <c r="I238" s="72"/>
      <c r="J238" s="72"/>
      <c r="K238" s="72"/>
      <c r="L238" s="72"/>
      <c r="M238" s="72"/>
      <c r="N238" s="72"/>
      <c r="O238" s="72"/>
      <c r="P238" s="72"/>
      <c r="Q238" s="72">
        <f>Q14+Q15+Q16+Q18+Q19+Q20+Q21+Q22+Q23+Q24+Q25+Q26+Q29+Q31+Q32+Q33+Q35+Q36+Q37+Q43+Q44+Q45+Q40+Q51+Q52+Q59+Q80+Q109+Q149+Q150+Q163+Q170+Q179+Q220+Q214+Q200+Q205+Q190+Q195+Q143+Q34</f>
        <v>0</v>
      </c>
      <c r="R238" s="123">
        <f>R14+R15+R16+R18+R19+R20+R21+R22+R23+R24+R25+R26+R29+R31+R32+R33+R35+R36+R37+R43+R44+R45+R40+R51+R52+R59+R80+R109+R149+R150+R163+R170+R179+R220+R214+R200+R205+R190+R195+R143+R34+R30</f>
        <v>546611.07400000002</v>
      </c>
      <c r="S238" s="123">
        <f>S14+S15+S16+S18+S19+S20+S21+S22+S23+S24+S25+S26+S29+S31+S32+S33+S35+S36+S37+S43+S44+S45+S40+S51+S52+S59+S80+S109+S149+S150+S163+S170+S179+S220+S214+S200+S205+S190+S195+S143+S34+S30</f>
        <v>3147666.4439999997</v>
      </c>
    </row>
    <row r="239" spans="1:19" ht="12.6" thickBot="1" x14ac:dyDescent="0.3">
      <c r="B239" s="73" t="s">
        <v>306</v>
      </c>
      <c r="C239" s="74">
        <f>SUBTOTAL(9,C235:C238)</f>
        <v>190.5</v>
      </c>
      <c r="D239" s="74"/>
      <c r="E239" s="75">
        <f>SUBTOTAL(9,E235:E238)</f>
        <v>1089234.5</v>
      </c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 t="e">
        <f t="shared" ref="Q239:S239" si="94">SUBTOTAL(9,Q235:Q238)</f>
        <v>#REF!</v>
      </c>
      <c r="R239" s="75">
        <f>R235+R236+R237+R238</f>
        <v>2706996.9040000001</v>
      </c>
      <c r="S239" s="76">
        <f t="shared" si="94"/>
        <v>16112075.674000001</v>
      </c>
    </row>
    <row r="240" spans="1:19" ht="19.95" customHeight="1" x14ac:dyDescent="0.25">
      <c r="R240" s="53"/>
    </row>
    <row r="241" spans="2:10" ht="19.2" customHeight="1" x14ac:dyDescent="0.3">
      <c r="B241" s="77" t="s">
        <v>307</v>
      </c>
      <c r="C241" s="78"/>
      <c r="D241" s="78"/>
      <c r="E241" s="79">
        <f>E239</f>
        <v>1089234.5</v>
      </c>
      <c r="G241" s="80"/>
      <c r="H241" s="81"/>
      <c r="I241" s="82"/>
    </row>
    <row r="242" spans="2:10" x14ac:dyDescent="0.25">
      <c r="B242" s="77" t="s">
        <v>308</v>
      </c>
      <c r="E242" s="52">
        <f>S233+E241</f>
        <v>17201310.174000002</v>
      </c>
    </row>
    <row r="244" spans="2:10" ht="15.6" x14ac:dyDescent="0.3">
      <c r="C244" s="83"/>
      <c r="D244" s="83"/>
      <c r="E244" s="83"/>
      <c r="F244" s="83"/>
      <c r="G244" s="83"/>
      <c r="H244" s="83"/>
      <c r="I244" s="83"/>
      <c r="J244" s="83"/>
    </row>
    <row r="245" spans="2:10" ht="15.6" x14ac:dyDescent="0.3">
      <c r="C245" s="83" t="s">
        <v>3</v>
      </c>
      <c r="D245" s="83"/>
      <c r="E245" s="83"/>
      <c r="F245" s="83"/>
      <c r="G245" s="83"/>
      <c r="H245" s="83" t="s">
        <v>309</v>
      </c>
      <c r="I245" s="83"/>
      <c r="J245" s="83"/>
    </row>
    <row r="246" spans="2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2:10" ht="15.6" x14ac:dyDescent="0.3">
      <c r="C247" s="83"/>
      <c r="D247" s="83"/>
      <c r="E247" s="83"/>
      <c r="F247" s="83"/>
      <c r="G247" s="83"/>
      <c r="H247" s="83"/>
      <c r="I247" s="83"/>
      <c r="J247" s="83"/>
    </row>
    <row r="248" spans="2:10" ht="15.6" x14ac:dyDescent="0.3">
      <c r="C248" s="143" t="s">
        <v>39</v>
      </c>
      <c r="D248" s="143"/>
      <c r="E248" s="143"/>
      <c r="F248" s="83"/>
      <c r="G248" s="83"/>
      <c r="H248" s="83" t="s">
        <v>311</v>
      </c>
      <c r="I248" s="83"/>
      <c r="J248" s="83"/>
    </row>
    <row r="249" spans="2:10" ht="15.6" x14ac:dyDescent="0.3">
      <c r="C249" s="83"/>
      <c r="D249" s="84"/>
      <c r="E249" s="84"/>
      <c r="F249" s="83"/>
      <c r="G249" s="83"/>
      <c r="H249" s="83"/>
      <c r="I249" s="83"/>
      <c r="J249" s="83"/>
    </row>
    <row r="250" spans="2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2:10" ht="15.6" x14ac:dyDescent="0.3">
      <c r="C251" s="83" t="s">
        <v>46</v>
      </c>
      <c r="D251" s="83"/>
      <c r="E251" s="83"/>
      <c r="F251" s="83"/>
      <c r="G251" s="83"/>
      <c r="H251" s="83" t="s">
        <v>331</v>
      </c>
      <c r="I251" s="83"/>
      <c r="J251" s="83"/>
    </row>
    <row r="252" spans="2:10" ht="15.6" x14ac:dyDescent="0.3">
      <c r="C252" s="83"/>
      <c r="D252" s="83"/>
      <c r="E252" s="83"/>
      <c r="F252" s="83"/>
      <c r="G252" s="83"/>
      <c r="H252" s="83"/>
      <c r="I252" s="83"/>
      <c r="J252" s="83"/>
    </row>
    <row r="253" spans="2:10" ht="15.6" x14ac:dyDescent="0.3">
      <c r="C253" s="83"/>
      <c r="D253" s="83"/>
      <c r="E253" s="83"/>
      <c r="F253" s="83"/>
      <c r="G253" s="83"/>
      <c r="H253" s="83"/>
      <c r="I253" s="83"/>
      <c r="J253" s="83"/>
    </row>
    <row r="254" spans="2:10" ht="15.6" x14ac:dyDescent="0.3">
      <c r="C254" s="143"/>
      <c r="D254" s="144"/>
      <c r="E254" s="144"/>
      <c r="F254" s="83"/>
      <c r="G254" s="83"/>
      <c r="H254" s="83"/>
      <c r="I254" s="83"/>
      <c r="J254" s="83"/>
    </row>
    <row r="255" spans="2:10" ht="15.6" x14ac:dyDescent="0.3">
      <c r="C255" s="83"/>
      <c r="D255" s="84"/>
      <c r="E255" s="84"/>
      <c r="F255" s="83"/>
      <c r="G255" s="83"/>
      <c r="H255" s="83"/>
      <c r="I255" s="83"/>
      <c r="J255" s="83"/>
    </row>
    <row r="256" spans="2:10" ht="15.6" x14ac:dyDescent="0.3">
      <c r="C256" s="83"/>
      <c r="D256" s="83"/>
      <c r="E256" s="83"/>
      <c r="F256" s="83"/>
      <c r="G256" s="83"/>
      <c r="H256" s="83"/>
      <c r="I256" s="83"/>
      <c r="J256" s="83"/>
    </row>
    <row r="257" spans="3:10" ht="15.6" x14ac:dyDescent="0.3">
      <c r="C257" s="83"/>
      <c r="D257" s="83"/>
      <c r="E257" s="83"/>
      <c r="F257" s="83"/>
      <c r="G257" s="83"/>
      <c r="H257" s="83"/>
      <c r="I257" s="83"/>
      <c r="J257" s="83"/>
    </row>
  </sheetData>
  <mergeCells count="29">
    <mergeCell ref="C254:E254"/>
    <mergeCell ref="O11:O12"/>
    <mergeCell ref="P11:P12"/>
    <mergeCell ref="Q11:Q12"/>
    <mergeCell ref="R11:R12"/>
    <mergeCell ref="S11:S12"/>
    <mergeCell ref="C248:E248"/>
    <mergeCell ref="F11:F12"/>
    <mergeCell ref="G11:G12"/>
    <mergeCell ref="H11:K11"/>
    <mergeCell ref="L11:L12"/>
    <mergeCell ref="M11:M12"/>
    <mergeCell ref="N11:N12"/>
    <mergeCell ref="M6:S6"/>
    <mergeCell ref="O8:P8"/>
    <mergeCell ref="S8:AH8"/>
    <mergeCell ref="B9:R9"/>
    <mergeCell ref="B10:R10"/>
    <mergeCell ref="A11:A12"/>
    <mergeCell ref="B11:B12"/>
    <mergeCell ref="C11:C12"/>
    <mergeCell ref="D11:D12"/>
    <mergeCell ref="E11:E12"/>
    <mergeCell ref="B1:S1"/>
    <mergeCell ref="M2:S2"/>
    <mergeCell ref="B3:D3"/>
    <mergeCell ref="M3:S3"/>
    <mergeCell ref="B5:D5"/>
    <mergeCell ref="M5:P5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712F9-79CE-4A08-9966-4BF0C1F849C9}">
  <dimension ref="A1:AI257"/>
  <sheetViews>
    <sheetView view="pageBreakPreview" topLeftCell="B64" zoomScale="60" zoomScaleNormal="70" workbookViewId="0">
      <selection activeCell="C91" sqref="C91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2" width="11.33203125" style="2" customWidth="1"/>
    <col min="13" max="13" width="10.21875" style="2" customWidth="1"/>
    <col min="14" max="14" width="9.88671875" style="2" customWidth="1"/>
    <col min="15" max="15" width="12.5546875" style="2" customWidth="1"/>
    <col min="16" max="16" width="10.88671875" style="2" customWidth="1"/>
    <col min="17" max="17" width="0.21875" style="2" customWidth="1"/>
    <col min="18" max="18" width="11.5546875" style="2" customWidth="1"/>
    <col min="19" max="19" width="11.886718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4"/>
      <c r="S1" s="16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63"/>
      <c r="N2" s="164"/>
      <c r="O2" s="164"/>
      <c r="P2" s="164"/>
      <c r="Q2" s="164"/>
      <c r="R2" s="164"/>
      <c r="S2" s="164"/>
    </row>
    <row r="3" spans="1:35" ht="40.799999999999997" customHeight="1" x14ac:dyDescent="0.35">
      <c r="B3" s="165" t="s">
        <v>0</v>
      </c>
      <c r="C3" s="166"/>
      <c r="D3" s="166"/>
      <c r="E3" s="4"/>
      <c r="F3" s="4"/>
      <c r="G3" s="4"/>
      <c r="H3" s="4"/>
      <c r="I3" s="4"/>
      <c r="J3" s="4"/>
      <c r="K3" s="4"/>
      <c r="L3" s="4"/>
      <c r="M3" s="167" t="s">
        <v>1</v>
      </c>
      <c r="N3" s="168"/>
      <c r="O3" s="168"/>
      <c r="P3" s="168"/>
      <c r="Q3" s="168"/>
      <c r="R3" s="168"/>
      <c r="S3" s="168"/>
    </row>
    <row r="4" spans="1:35" ht="11.4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/>
      <c r="N4"/>
      <c r="O4"/>
      <c r="P4"/>
      <c r="Q4"/>
      <c r="R4"/>
      <c r="S4"/>
    </row>
    <row r="5" spans="1:35" ht="17.399999999999999" x14ac:dyDescent="0.3">
      <c r="B5" s="169" t="s">
        <v>2</v>
      </c>
      <c r="C5" s="169"/>
      <c r="D5" s="169"/>
      <c r="G5" s="8"/>
      <c r="H5" s="8"/>
      <c r="I5" s="8"/>
      <c r="J5" s="8"/>
      <c r="K5" s="8"/>
      <c r="L5" s="8"/>
      <c r="M5" s="143" t="s">
        <v>3</v>
      </c>
      <c r="N5" s="144"/>
      <c r="O5" s="144"/>
      <c r="P5" s="144"/>
      <c r="Q5" s="9"/>
      <c r="R5" s="9"/>
      <c r="S5" s="3"/>
    </row>
    <row r="6" spans="1:35" ht="29.4" customHeight="1" x14ac:dyDescent="0.3">
      <c r="B6" s="10"/>
      <c r="G6" s="11"/>
      <c r="H6" s="12"/>
      <c r="M6" s="155" t="s">
        <v>4</v>
      </c>
      <c r="N6" s="144"/>
      <c r="O6" s="144"/>
      <c r="P6" s="144"/>
      <c r="Q6" s="144"/>
      <c r="R6" s="144"/>
      <c r="S6" s="144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6" t="s">
        <v>333</v>
      </c>
      <c r="P8" s="157"/>
      <c r="Q8" s="13"/>
      <c r="R8" s="13"/>
      <c r="S8" s="158" t="s">
        <v>6</v>
      </c>
      <c r="T8" s="158"/>
      <c r="U8" s="158"/>
      <c r="V8" s="158"/>
      <c r="W8" s="158"/>
      <c r="X8" s="158"/>
      <c r="Y8" s="158"/>
      <c r="Z8" s="158"/>
      <c r="AA8" s="158"/>
      <c r="AB8" s="158"/>
      <c r="AC8" s="158"/>
      <c r="AD8" s="158"/>
      <c r="AE8" s="158"/>
      <c r="AF8" s="158"/>
      <c r="AG8" s="158"/>
      <c r="AH8" s="158"/>
      <c r="AI8" s="14"/>
    </row>
    <row r="9" spans="1:35" ht="23.4" customHeight="1" x14ac:dyDescent="0.3">
      <c r="B9" s="159" t="s">
        <v>7</v>
      </c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4" t="s">
        <v>8</v>
      </c>
    </row>
    <row r="10" spans="1:35" ht="27.6" customHeight="1" thickBot="1" x14ac:dyDescent="0.35">
      <c r="B10" s="160" t="s">
        <v>336</v>
      </c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</row>
    <row r="11" spans="1:35" ht="37.950000000000003" customHeight="1" x14ac:dyDescent="0.25">
      <c r="A11" s="161"/>
      <c r="B11" s="149" t="s">
        <v>10</v>
      </c>
      <c r="C11" s="151" t="s">
        <v>11</v>
      </c>
      <c r="D11" s="151" t="s">
        <v>12</v>
      </c>
      <c r="E11" s="151" t="s">
        <v>13</v>
      </c>
      <c r="F11" s="151" t="s">
        <v>14</v>
      </c>
      <c r="G11" s="151" t="s">
        <v>15</v>
      </c>
      <c r="H11" s="151" t="s">
        <v>16</v>
      </c>
      <c r="I11" s="151"/>
      <c r="J11" s="151"/>
      <c r="K11" s="151"/>
      <c r="L11" s="147" t="s">
        <v>17</v>
      </c>
      <c r="M11" s="147" t="s">
        <v>18</v>
      </c>
      <c r="N11" s="147" t="s">
        <v>19</v>
      </c>
      <c r="O11" s="145" t="s">
        <v>20</v>
      </c>
      <c r="P11" s="147" t="s">
        <v>21</v>
      </c>
      <c r="Q11" s="149"/>
      <c r="R11" s="151" t="s">
        <v>22</v>
      </c>
      <c r="S11" s="153" t="s">
        <v>337</v>
      </c>
    </row>
    <row r="12" spans="1:35" ht="64.95" customHeight="1" thickBot="1" x14ac:dyDescent="0.3">
      <c r="A12" s="162"/>
      <c r="B12" s="150"/>
      <c r="C12" s="152"/>
      <c r="D12" s="152"/>
      <c r="E12" s="152"/>
      <c r="F12" s="152"/>
      <c r="G12" s="152"/>
      <c r="H12" s="16" t="s">
        <v>24</v>
      </c>
      <c r="I12" s="17" t="s">
        <v>25</v>
      </c>
      <c r="J12" s="17" t="s">
        <v>26</v>
      </c>
      <c r="K12" s="16" t="s">
        <v>27</v>
      </c>
      <c r="L12" s="148"/>
      <c r="M12" s="148"/>
      <c r="N12" s="148"/>
      <c r="O12" s="146"/>
      <c r="P12" s="148"/>
      <c r="Q12" s="150"/>
      <c r="R12" s="152"/>
      <c r="S12" s="154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R14*5</f>
        <v>268750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R15*5</f>
        <v>112500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112500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5815</v>
      </c>
      <c r="F17" s="23"/>
      <c r="G17" s="23">
        <f>E17</f>
        <v>5815</v>
      </c>
      <c r="H17" s="23">
        <f>G17*0.5</f>
        <v>2907.5</v>
      </c>
      <c r="I17" s="23" t="s">
        <v>37</v>
      </c>
      <c r="J17" s="24"/>
      <c r="K17" s="22">
        <f>G17*0.3</f>
        <v>1744.5</v>
      </c>
      <c r="L17" s="23"/>
      <c r="M17" s="24"/>
      <c r="N17" s="23"/>
      <c r="O17" s="26">
        <f>G17*200%</f>
        <v>11630</v>
      </c>
      <c r="P17" s="24"/>
      <c r="Q17" s="22"/>
      <c r="R17" s="23">
        <f>N17+K17+H17+E17+L17+O17</f>
        <v>22097</v>
      </c>
      <c r="S17" s="25">
        <f t="shared" si="0"/>
        <v>110485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6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200000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5240*C19</f>
        <v>10480</v>
      </c>
      <c r="F19" s="23"/>
      <c r="G19" s="23">
        <f t="shared" si="1"/>
        <v>10480</v>
      </c>
      <c r="H19" s="23">
        <f t="shared" ref="H19:H26" si="2">G19*0.5</f>
        <v>5240</v>
      </c>
      <c r="I19" s="23"/>
      <c r="J19" s="23"/>
      <c r="K19" s="23"/>
      <c r="L19" s="23" t="s">
        <v>44</v>
      </c>
      <c r="M19" s="23"/>
      <c r="N19" s="23"/>
      <c r="O19" s="23">
        <f>10480*C19</f>
        <v>20960</v>
      </c>
      <c r="P19" s="23" t="s">
        <v>8</v>
      </c>
      <c r="Q19" s="23"/>
      <c r="R19" s="23">
        <f>G19+H19+O19</f>
        <v>36680</v>
      </c>
      <c r="S19" s="25">
        <f t="shared" si="0"/>
        <v>183400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8</v>
      </c>
      <c r="E20" s="23">
        <v>5240</v>
      </c>
      <c r="F20" s="23"/>
      <c r="G20" s="23">
        <f t="shared" si="1"/>
        <v>5240</v>
      </c>
      <c r="H20" s="23">
        <f t="shared" si="2"/>
        <v>2620</v>
      </c>
      <c r="I20" s="23"/>
      <c r="J20" s="23"/>
      <c r="K20" s="23"/>
      <c r="L20" s="23" t="s">
        <v>44</v>
      </c>
      <c r="M20" s="23"/>
      <c r="N20" s="23"/>
      <c r="O20" s="23">
        <v>10480</v>
      </c>
      <c r="P20" s="23" t="s">
        <v>8</v>
      </c>
      <c r="Q20" s="23"/>
      <c r="R20" s="23">
        <f>G20+H20+O20</f>
        <v>18340</v>
      </c>
      <c r="S20" s="25">
        <f t="shared" si="0"/>
        <v>91700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5240</v>
      </c>
      <c r="F21" s="22"/>
      <c r="G21" s="23">
        <f t="shared" si="1"/>
        <v>5240</v>
      </c>
      <c r="H21" s="23">
        <f t="shared" si="2"/>
        <v>2620</v>
      </c>
      <c r="I21" s="24"/>
      <c r="J21" s="24"/>
      <c r="K21" s="22"/>
      <c r="L21" s="24"/>
      <c r="M21" s="24"/>
      <c r="N21" s="23"/>
      <c r="O21" s="23">
        <f>G21*200%</f>
        <v>10480</v>
      </c>
      <c r="P21" s="24"/>
      <c r="Q21" s="22"/>
      <c r="R21" s="23">
        <f t="shared" ref="R21:R25" si="3">G21+H21+O21</f>
        <v>18340</v>
      </c>
      <c r="S21" s="25">
        <f t="shared" si="0"/>
        <v>91700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4633</v>
      </c>
      <c r="F22" s="22"/>
      <c r="G22" s="23">
        <f t="shared" si="1"/>
        <v>4633</v>
      </c>
      <c r="H22" s="22">
        <f t="shared" si="2"/>
        <v>2316.5</v>
      </c>
      <c r="I22" s="24"/>
      <c r="J22" s="24"/>
      <c r="K22" s="22"/>
      <c r="L22" s="24"/>
      <c r="M22" s="24"/>
      <c r="N22" s="23"/>
      <c r="O22" s="23">
        <f>G22*200%</f>
        <v>9266</v>
      </c>
      <c r="P22" s="24"/>
      <c r="Q22" s="22"/>
      <c r="R22" s="23">
        <f t="shared" si="3"/>
        <v>16215.5</v>
      </c>
      <c r="S22" s="25">
        <f t="shared" si="0"/>
        <v>81077.5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E22/2</f>
        <v>2316.5</v>
      </c>
      <c r="F23" s="22"/>
      <c r="G23" s="23">
        <f t="shared" si="1"/>
        <v>2316.5</v>
      </c>
      <c r="H23" s="22">
        <f t="shared" si="2"/>
        <v>1158.25</v>
      </c>
      <c r="I23" s="24"/>
      <c r="J23" s="24"/>
      <c r="K23" s="22"/>
      <c r="L23" s="24"/>
      <c r="M23" s="24"/>
      <c r="N23" s="23"/>
      <c r="O23" s="23">
        <f>G23*150%</f>
        <v>3474.75</v>
      </c>
      <c r="P23" s="24"/>
      <c r="Q23" s="22"/>
      <c r="R23" s="23">
        <f t="shared" si="3"/>
        <v>6949.5</v>
      </c>
      <c r="S23" s="25">
        <f t="shared" si="0"/>
        <v>34747.5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4058</v>
      </c>
      <c r="F24" s="22"/>
      <c r="G24" s="23">
        <f t="shared" si="1"/>
        <v>4058</v>
      </c>
      <c r="H24" s="22">
        <f t="shared" si="2"/>
        <v>2029</v>
      </c>
      <c r="I24" s="24"/>
      <c r="J24" s="24"/>
      <c r="K24" s="22"/>
      <c r="L24" s="24"/>
      <c r="M24" s="24"/>
      <c r="N24" s="23"/>
      <c r="O24" s="23">
        <f>G24*200%</f>
        <v>8116</v>
      </c>
      <c r="P24" s="24"/>
      <c r="Q24" s="22"/>
      <c r="R24" s="23">
        <f t="shared" si="3"/>
        <v>14203</v>
      </c>
      <c r="S24" s="25">
        <f t="shared" si="0"/>
        <v>71015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5527</v>
      </c>
      <c r="F25" s="23"/>
      <c r="G25" s="23">
        <f t="shared" si="1"/>
        <v>5527</v>
      </c>
      <c r="H25" s="23">
        <f t="shared" si="2"/>
        <v>2763.5</v>
      </c>
      <c r="I25" s="23"/>
      <c r="J25" s="23"/>
      <c r="K25" s="23"/>
      <c r="L25" s="23"/>
      <c r="M25" s="23"/>
      <c r="N25" s="23"/>
      <c r="O25" s="23">
        <f>G25*150%</f>
        <v>8290.5</v>
      </c>
      <c r="P25" s="23"/>
      <c r="Q25" s="23"/>
      <c r="R25" s="23">
        <f t="shared" si="3"/>
        <v>16581</v>
      </c>
      <c r="S25" s="25">
        <f t="shared" si="0"/>
        <v>82905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4058*C26</f>
        <v>4058</v>
      </c>
      <c r="F26" s="22"/>
      <c r="G26" s="23">
        <f t="shared" si="1"/>
        <v>4058</v>
      </c>
      <c r="H26" s="22">
        <f t="shared" si="2"/>
        <v>2029</v>
      </c>
      <c r="I26" s="24"/>
      <c r="J26" s="24"/>
      <c r="K26" s="22"/>
      <c r="L26" s="24"/>
      <c r="M26" s="24"/>
      <c r="N26" s="23"/>
      <c r="O26" s="23">
        <f>G26*150%</f>
        <v>6087</v>
      </c>
      <c r="P26" s="24"/>
      <c r="Q26" s="22"/>
      <c r="R26" s="23">
        <f>G26+H26+O26</f>
        <v>12174</v>
      </c>
      <c r="S26" s="25">
        <f t="shared" si="0"/>
        <v>60870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137367.5</v>
      </c>
      <c r="F27" s="34"/>
      <c r="G27" s="35">
        <f>SUM(G14:G26)</f>
        <v>137367.5</v>
      </c>
      <c r="H27" s="34">
        <f>SUM(H14:H26)</f>
        <v>23683.75</v>
      </c>
      <c r="I27" s="90"/>
      <c r="J27" s="90"/>
      <c r="K27" s="34">
        <f>SUM(K14:K26)</f>
        <v>1744.5</v>
      </c>
      <c r="L27" s="90"/>
      <c r="M27" s="34">
        <f>SUM(M14:M26)</f>
        <v>3750</v>
      </c>
      <c r="N27" s="35"/>
      <c r="O27" s="35">
        <f>SUM(O14:O26)</f>
        <v>133784.25</v>
      </c>
      <c r="P27" s="90"/>
      <c r="Q27" s="34"/>
      <c r="R27" s="35">
        <f>SUM(R14:R26)</f>
        <v>300330</v>
      </c>
      <c r="S27" s="36">
        <f>SUM(S14:S26)</f>
        <v>1501650</v>
      </c>
    </row>
    <row r="28" spans="1:19" s="13" customFormat="1" ht="25.2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93"/>
    </row>
    <row r="29" spans="1:19" x14ac:dyDescent="0.25">
      <c r="A29" s="20" t="s">
        <v>61</v>
      </c>
      <c r="B29" s="21" t="s">
        <v>62</v>
      </c>
      <c r="C29" s="22">
        <v>0.5</v>
      </c>
      <c r="D29" s="22">
        <v>7</v>
      </c>
      <c r="E29" s="23">
        <f>4920*C29</f>
        <v>2460</v>
      </c>
      <c r="F29" s="22"/>
      <c r="G29" s="23">
        <f t="shared" ref="G29:G32" si="4">E29+F29</f>
        <v>2460</v>
      </c>
      <c r="H29" s="23"/>
      <c r="I29" s="23"/>
      <c r="J29" s="23"/>
      <c r="K29" s="23"/>
      <c r="L29" s="23"/>
      <c r="M29" s="23"/>
      <c r="N29" s="23"/>
      <c r="O29" s="23"/>
      <c r="P29" s="23">
        <f>8000*C29-G29</f>
        <v>1540</v>
      </c>
      <c r="Q29" s="23"/>
      <c r="R29" s="23">
        <f>G29+H29+I29+ J29+K29+L29+N29+O29+P29</f>
        <v>4000</v>
      </c>
      <c r="S29" s="25">
        <f>R29*5</f>
        <v>20000</v>
      </c>
    </row>
    <row r="30" spans="1:19" x14ac:dyDescent="0.25">
      <c r="A30" s="20" t="s">
        <v>61</v>
      </c>
      <c r="B30" s="21" t="s">
        <v>328</v>
      </c>
      <c r="C30" s="22">
        <v>0.5</v>
      </c>
      <c r="D30" s="22">
        <v>6</v>
      </c>
      <c r="E30" s="23">
        <f>4633*C30</f>
        <v>2316.5</v>
      </c>
      <c r="F30" s="22"/>
      <c r="G30" s="23">
        <f t="shared" si="4"/>
        <v>2316.5</v>
      </c>
      <c r="H30" s="23"/>
      <c r="I30" s="23"/>
      <c r="J30" s="23"/>
      <c r="K30" s="23"/>
      <c r="L30" s="23"/>
      <c r="M30" s="23"/>
      <c r="N30" s="23"/>
      <c r="O30" s="23"/>
      <c r="P30" s="23">
        <f>8000*C30-G30</f>
        <v>1683.5</v>
      </c>
      <c r="Q30" s="23"/>
      <c r="R30" s="23">
        <f>G30+H30+I30+ J30+K30+L30+N30+O30+P30</f>
        <v>4000</v>
      </c>
      <c r="S30" s="25">
        <f t="shared" ref="S30:S37" si="5">R30*5</f>
        <v>20000</v>
      </c>
    </row>
    <row r="31" spans="1:19" x14ac:dyDescent="0.25">
      <c r="A31" s="20" t="s">
        <v>63</v>
      </c>
      <c r="B31" s="21" t="s">
        <v>64</v>
      </c>
      <c r="C31" s="22">
        <v>0.5</v>
      </c>
      <c r="D31" s="22">
        <v>1</v>
      </c>
      <c r="E31" s="23">
        <f>3195*C31</f>
        <v>1597.5</v>
      </c>
      <c r="F31" s="22"/>
      <c r="G31" s="23">
        <f t="shared" si="4"/>
        <v>1597.5</v>
      </c>
      <c r="H31" s="23"/>
      <c r="I31" s="23"/>
      <c r="J31" s="23"/>
      <c r="K31" s="23"/>
      <c r="L31" s="23"/>
      <c r="M31" s="23"/>
      <c r="N31" s="23"/>
      <c r="O31" s="23"/>
      <c r="P31" s="23">
        <f>8000-G31</f>
        <v>6402.5</v>
      </c>
      <c r="Q31" s="23"/>
      <c r="R31" s="23">
        <f t="shared" ref="R31:R32" si="6">G31+H31+I31+ J31+K31+L31+N31+O31+P31</f>
        <v>8000</v>
      </c>
      <c r="S31" s="25">
        <f t="shared" si="5"/>
        <v>40000</v>
      </c>
    </row>
    <row r="32" spans="1:19" x14ac:dyDescent="0.25">
      <c r="A32" s="20" t="s">
        <v>65</v>
      </c>
      <c r="B32" s="21" t="s">
        <v>66</v>
      </c>
      <c r="C32" s="22">
        <v>1.5</v>
      </c>
      <c r="D32" s="22">
        <v>1</v>
      </c>
      <c r="E32" s="23">
        <f>3195*C32</f>
        <v>4792.5</v>
      </c>
      <c r="F32" s="22"/>
      <c r="G32" s="23">
        <f t="shared" si="4"/>
        <v>4792.5</v>
      </c>
      <c r="H32" s="23"/>
      <c r="I32" s="23"/>
      <c r="J32" s="23"/>
      <c r="K32" s="23"/>
      <c r="L32" s="23"/>
      <c r="M32" s="23"/>
      <c r="N32" s="23"/>
      <c r="O32" s="23"/>
      <c r="P32" s="23">
        <f t="shared" ref="P32" si="7">8000-G32</f>
        <v>3207.5</v>
      </c>
      <c r="Q32" s="23"/>
      <c r="R32" s="23">
        <f t="shared" si="6"/>
        <v>8000</v>
      </c>
      <c r="S32" s="25">
        <f t="shared" si="5"/>
        <v>40000</v>
      </c>
    </row>
    <row r="33" spans="1:19" x14ac:dyDescent="0.25">
      <c r="A33" s="20" t="s">
        <v>67</v>
      </c>
      <c r="B33" s="21" t="s">
        <v>68</v>
      </c>
      <c r="C33" s="22">
        <v>1.5</v>
      </c>
      <c r="D33" s="22">
        <v>3</v>
      </c>
      <c r="E33" s="23">
        <f>3770*C33</f>
        <v>5655</v>
      </c>
      <c r="F33" s="22"/>
      <c r="G33" s="23">
        <f t="shared" si="1"/>
        <v>5655</v>
      </c>
      <c r="H33" s="23"/>
      <c r="I33" s="23"/>
      <c r="J33" s="23"/>
      <c r="K33" s="23"/>
      <c r="L33" s="23"/>
      <c r="M33" s="23"/>
      <c r="N33" s="23"/>
      <c r="O33" s="23"/>
      <c r="P33" s="23">
        <f>8000*C33-G33</f>
        <v>6345</v>
      </c>
      <c r="Q33" s="23"/>
      <c r="R33" s="23">
        <f>G33+H33+I33+ J33+K33+L33+N33+O33+P33</f>
        <v>12000</v>
      </c>
      <c r="S33" s="25">
        <f t="shared" si="5"/>
        <v>60000</v>
      </c>
    </row>
    <row r="34" spans="1:19" ht="24" x14ac:dyDescent="0.25">
      <c r="A34" s="20" t="s">
        <v>67</v>
      </c>
      <c r="B34" s="21" t="s">
        <v>315</v>
      </c>
      <c r="C34" s="22">
        <v>0.5</v>
      </c>
      <c r="D34" s="22">
        <v>3</v>
      </c>
      <c r="E34" s="23">
        <f>3770*C34</f>
        <v>1885</v>
      </c>
      <c r="F34" s="22"/>
      <c r="G34" s="23">
        <f t="shared" si="1"/>
        <v>1885</v>
      </c>
      <c r="H34" s="23"/>
      <c r="I34" s="23"/>
      <c r="J34" s="23"/>
      <c r="K34" s="23"/>
      <c r="L34" s="23"/>
      <c r="M34" s="23"/>
      <c r="N34" s="23"/>
      <c r="O34" s="23"/>
      <c r="P34" s="23">
        <f>8000*C34-G34</f>
        <v>2115</v>
      </c>
      <c r="Q34" s="23"/>
      <c r="R34" s="23">
        <f>G34+H34+I34+ J34+K34+L34+N34+O34+P34</f>
        <v>4000</v>
      </c>
      <c r="S34" s="25">
        <f t="shared" si="5"/>
        <v>20000</v>
      </c>
    </row>
    <row r="35" spans="1:19" ht="12.6" customHeight="1" x14ac:dyDescent="0.25">
      <c r="A35" s="20" t="s">
        <v>69</v>
      </c>
      <c r="B35" s="21" t="s">
        <v>70</v>
      </c>
      <c r="C35" s="22">
        <v>1</v>
      </c>
      <c r="D35" s="22">
        <v>2</v>
      </c>
      <c r="E35" s="23">
        <v>3483</v>
      </c>
      <c r="F35" s="22">
        <f>E35*0.2</f>
        <v>696.6</v>
      </c>
      <c r="G35" s="23">
        <f t="shared" si="1"/>
        <v>4179.6000000000004</v>
      </c>
      <c r="H35" s="23"/>
      <c r="I35" s="23"/>
      <c r="J35" s="23">
        <f>G35*4%</f>
        <v>167.18400000000003</v>
      </c>
      <c r="K35" s="23"/>
      <c r="L35" s="23"/>
      <c r="M35" s="23"/>
      <c r="N35" s="23"/>
      <c r="O35" s="23"/>
      <c r="P35" s="23">
        <f>8000-E35</f>
        <v>4517</v>
      </c>
      <c r="Q35" s="23"/>
      <c r="R35" s="23">
        <f>G35+J35+P35</f>
        <v>8863.7839999999997</v>
      </c>
      <c r="S35" s="25">
        <f t="shared" si="5"/>
        <v>44318.92</v>
      </c>
    </row>
    <row r="36" spans="1:19" ht="18" customHeight="1" x14ac:dyDescent="0.25">
      <c r="A36" s="20" t="s">
        <v>71</v>
      </c>
      <c r="B36" s="21" t="s">
        <v>72</v>
      </c>
      <c r="C36" s="22">
        <v>1</v>
      </c>
      <c r="D36" s="22">
        <v>1</v>
      </c>
      <c r="E36" s="23">
        <v>3195</v>
      </c>
      <c r="F36" s="22"/>
      <c r="G36" s="23">
        <f t="shared" si="1"/>
        <v>3195</v>
      </c>
      <c r="H36" s="23"/>
      <c r="I36" s="23"/>
      <c r="J36" s="23"/>
      <c r="K36" s="23"/>
      <c r="L36" s="23"/>
      <c r="M36" s="23"/>
      <c r="N36" s="23"/>
      <c r="O36" s="23"/>
      <c r="P36" s="23">
        <f>8000-G36</f>
        <v>4805</v>
      </c>
      <c r="Q36" s="23"/>
      <c r="R36" s="23">
        <f t="shared" ref="R36" si="8">G36+H36+I36+ J36+K36+L36+N36+O36+P36</f>
        <v>8000</v>
      </c>
      <c r="S36" s="25">
        <f t="shared" si="5"/>
        <v>40000</v>
      </c>
    </row>
    <row r="37" spans="1:19" x14ac:dyDescent="0.25">
      <c r="A37" s="20" t="s">
        <v>73</v>
      </c>
      <c r="B37" s="21" t="s">
        <v>74</v>
      </c>
      <c r="C37" s="22">
        <v>1</v>
      </c>
      <c r="D37" s="22">
        <v>5</v>
      </c>
      <c r="E37" s="23">
        <v>4345</v>
      </c>
      <c r="F37" s="23"/>
      <c r="G37" s="23">
        <f>E37+F37</f>
        <v>4345</v>
      </c>
      <c r="H37" s="23"/>
      <c r="I37" s="23"/>
      <c r="J37" s="23"/>
      <c r="K37" s="23"/>
      <c r="L37" s="23"/>
      <c r="M37" s="23"/>
      <c r="N37" s="23"/>
      <c r="O37" s="23"/>
      <c r="P37" s="23">
        <f>8000-G37</f>
        <v>3655</v>
      </c>
      <c r="Q37" s="32"/>
      <c r="R37" s="23">
        <f>G37+P37</f>
        <v>8000</v>
      </c>
      <c r="S37" s="25">
        <f t="shared" si="5"/>
        <v>40000</v>
      </c>
    </row>
    <row r="38" spans="1:19" s="27" customFormat="1" ht="20.399999999999999" customHeight="1" thickBot="1" x14ac:dyDescent="0.3">
      <c r="A38" s="64"/>
      <c r="B38" s="47" t="s">
        <v>59</v>
      </c>
      <c r="C38" s="34">
        <f>SUM(C29:C37)</f>
        <v>8</v>
      </c>
      <c r="D38" s="34"/>
      <c r="E38" s="35">
        <f>SUM(E29:E37)</f>
        <v>29729.5</v>
      </c>
      <c r="F38" s="34">
        <f>SUM(F29:F37)</f>
        <v>696.6</v>
      </c>
      <c r="G38" s="35">
        <f>E38+F38</f>
        <v>30426.1</v>
      </c>
      <c r="H38" s="35"/>
      <c r="I38" s="35">
        <f>SUM(I29:I36)</f>
        <v>0</v>
      </c>
      <c r="J38" s="35">
        <f>SUM(J29:J36)</f>
        <v>167.18400000000003</v>
      </c>
      <c r="K38" s="35"/>
      <c r="L38" s="35"/>
      <c r="M38" s="35"/>
      <c r="N38" s="35"/>
      <c r="O38" s="35"/>
      <c r="P38" s="35">
        <f>SUM(P29:P37)</f>
        <v>34270.5</v>
      </c>
      <c r="Q38" s="35"/>
      <c r="R38" s="35">
        <f>SUM(R29:R37)</f>
        <v>64863.784</v>
      </c>
      <c r="S38" s="36">
        <f>SUM(S29:S37)</f>
        <v>324318.92</v>
      </c>
    </row>
    <row r="39" spans="1:19" ht="15.6" customHeight="1" x14ac:dyDescent="0.25">
      <c r="A39" s="18"/>
      <c r="B39" s="86" t="s">
        <v>75</v>
      </c>
      <c r="C39" s="85"/>
      <c r="D39" s="85"/>
      <c r="E39" s="85"/>
      <c r="F39" s="85"/>
      <c r="G39" s="94"/>
      <c r="H39" s="85" t="s">
        <v>76</v>
      </c>
      <c r="I39" s="95"/>
      <c r="J39" s="95"/>
      <c r="K39" s="85"/>
      <c r="L39" s="95"/>
      <c r="M39" s="95"/>
      <c r="N39" s="95"/>
      <c r="O39" s="95"/>
      <c r="P39" s="95"/>
      <c r="Q39" s="85"/>
      <c r="R39" s="85"/>
      <c r="S39" s="96"/>
    </row>
    <row r="40" spans="1:19" s="13" customFormat="1" x14ac:dyDescent="0.2">
      <c r="A40" s="28" t="s">
        <v>77</v>
      </c>
      <c r="B40" s="21" t="s">
        <v>78</v>
      </c>
      <c r="C40" s="22">
        <v>2.5</v>
      </c>
      <c r="D40" s="22">
        <v>2</v>
      </c>
      <c r="E40" s="23">
        <f>3483*C40</f>
        <v>8707.5</v>
      </c>
      <c r="F40" s="22"/>
      <c r="G40" s="23">
        <f t="shared" ref="G40:G41" si="9">E40+F40</f>
        <v>8707.5</v>
      </c>
      <c r="H40" s="23"/>
      <c r="I40" s="23"/>
      <c r="J40" s="23"/>
      <c r="K40" s="23"/>
      <c r="L40" s="23"/>
      <c r="M40" s="23"/>
      <c r="N40" s="23"/>
      <c r="O40" s="23"/>
      <c r="P40" s="23">
        <f>8000*C40-G40</f>
        <v>11292.5</v>
      </c>
      <c r="Q40" s="23"/>
      <c r="R40" s="23">
        <f t="shared" ref="R40" si="10">G40+H40+I40+ J40+K40+L40+N40+O40+P40</f>
        <v>20000</v>
      </c>
      <c r="S40" s="25">
        <f>R40*5</f>
        <v>100000</v>
      </c>
    </row>
    <row r="41" spans="1:19" s="37" customFormat="1" ht="16.8" customHeight="1" thickBot="1" x14ac:dyDescent="0.3">
      <c r="A41" s="33"/>
      <c r="B41" s="47" t="s">
        <v>59</v>
      </c>
      <c r="C41" s="34">
        <f>SUM(C40:C40)</f>
        <v>2.5</v>
      </c>
      <c r="D41" s="34"/>
      <c r="E41" s="35">
        <f>SUM(E40:E40)</f>
        <v>8707.5</v>
      </c>
      <c r="F41" s="34"/>
      <c r="G41" s="35">
        <f t="shared" si="9"/>
        <v>8707.5</v>
      </c>
      <c r="H41" s="35"/>
      <c r="I41" s="35"/>
      <c r="J41" s="35"/>
      <c r="K41" s="35"/>
      <c r="L41" s="35"/>
      <c r="M41" s="35"/>
      <c r="N41" s="35"/>
      <c r="O41" s="35"/>
      <c r="P41" s="35">
        <f>SUM(P40:P40)</f>
        <v>11292.5</v>
      </c>
      <c r="Q41" s="35"/>
      <c r="R41" s="35">
        <f>SUM(G41:Q41)</f>
        <v>20000</v>
      </c>
      <c r="S41" s="36">
        <f>SUM(S40:S40)</f>
        <v>100000</v>
      </c>
    </row>
    <row r="42" spans="1:19" s="38" customFormat="1" ht="17.399999999999999" customHeight="1" x14ac:dyDescent="0.25">
      <c r="A42" s="18"/>
      <c r="B42" s="86" t="s">
        <v>79</v>
      </c>
      <c r="C42" s="86"/>
      <c r="D42" s="86"/>
      <c r="E42" s="86"/>
      <c r="F42" s="86"/>
      <c r="G42" s="94"/>
      <c r="H42" s="86"/>
      <c r="I42" s="19"/>
      <c r="J42" s="19"/>
      <c r="K42" s="86"/>
      <c r="L42" s="19"/>
      <c r="M42" s="19"/>
      <c r="N42" s="19"/>
      <c r="O42" s="19"/>
      <c r="P42" s="19"/>
      <c r="Q42" s="86"/>
      <c r="R42" s="86"/>
      <c r="S42" s="87"/>
    </row>
    <row r="43" spans="1:19" s="38" customFormat="1" ht="16.95" customHeight="1" x14ac:dyDescent="0.25">
      <c r="A43" s="20" t="s">
        <v>80</v>
      </c>
      <c r="B43" s="21" t="s">
        <v>64</v>
      </c>
      <c r="C43" s="22">
        <v>0.5</v>
      </c>
      <c r="D43" s="22">
        <v>1</v>
      </c>
      <c r="E43" s="22">
        <v>1597.5</v>
      </c>
      <c r="F43" s="22"/>
      <c r="G43" s="22">
        <v>1597.5</v>
      </c>
      <c r="H43" s="22"/>
      <c r="I43" s="24"/>
      <c r="J43" s="24"/>
      <c r="K43" s="22"/>
      <c r="L43" s="24"/>
      <c r="M43" s="24"/>
      <c r="N43" s="24"/>
      <c r="O43" s="24"/>
      <c r="P43" s="23">
        <f>8000/2-G43</f>
        <v>2402.5</v>
      </c>
      <c r="Q43" s="22"/>
      <c r="R43" s="23">
        <f t="shared" ref="R43" si="11">G43+H43+I43+ J43+K43+L43+N43+O43+P43</f>
        <v>4000</v>
      </c>
      <c r="S43" s="25">
        <f>R43*5</f>
        <v>20000</v>
      </c>
    </row>
    <row r="44" spans="1:19" x14ac:dyDescent="0.25">
      <c r="A44" s="20" t="s">
        <v>81</v>
      </c>
      <c r="B44" s="21" t="s">
        <v>82</v>
      </c>
      <c r="C44" s="22">
        <v>2</v>
      </c>
      <c r="D44" s="22">
        <v>4</v>
      </c>
      <c r="E44" s="23">
        <f>4058*C44</f>
        <v>8116</v>
      </c>
      <c r="F44" s="22"/>
      <c r="G44" s="23">
        <f t="shared" ref="G44:G45" si="12">E44+F44</f>
        <v>8116</v>
      </c>
      <c r="H44" s="23"/>
      <c r="I44" s="23"/>
      <c r="J44" s="23">
        <f>G44*0.04</f>
        <v>324.64</v>
      </c>
      <c r="K44" s="23"/>
      <c r="L44" s="23"/>
      <c r="M44" s="23"/>
      <c r="N44" s="23"/>
      <c r="O44" s="23"/>
      <c r="P44" s="23">
        <f>8000*C44-G44</f>
        <v>7884</v>
      </c>
      <c r="Q44" s="23"/>
      <c r="R44" s="23">
        <f>SUM(G44:P44)</f>
        <v>16324.64</v>
      </c>
      <c r="S44" s="25">
        <f t="shared" ref="S44:S45" si="13">R44*5</f>
        <v>81623.199999999997</v>
      </c>
    </row>
    <row r="45" spans="1:19" x14ac:dyDescent="0.25">
      <c r="A45" s="20" t="s">
        <v>83</v>
      </c>
      <c r="B45" s="21" t="s">
        <v>84</v>
      </c>
      <c r="C45" s="22">
        <v>2</v>
      </c>
      <c r="D45" s="22">
        <v>1</v>
      </c>
      <c r="E45" s="23">
        <f>3195*C45</f>
        <v>6390</v>
      </c>
      <c r="F45" s="22"/>
      <c r="G45" s="23">
        <f t="shared" si="12"/>
        <v>6390</v>
      </c>
      <c r="H45" s="23"/>
      <c r="I45" s="23">
        <f>G45*0.1</f>
        <v>639</v>
      </c>
      <c r="J45" s="23"/>
      <c r="K45" s="23"/>
      <c r="L45" s="23"/>
      <c r="M45" s="23"/>
      <c r="N45" s="23"/>
      <c r="O45" s="23"/>
      <c r="P45" s="23">
        <f>8000*C45-G45</f>
        <v>9610</v>
      </c>
      <c r="Q45" s="23"/>
      <c r="R45" s="23">
        <f>SUM(G45:P45)</f>
        <v>16639</v>
      </c>
      <c r="S45" s="25">
        <f t="shared" si="13"/>
        <v>83195</v>
      </c>
    </row>
    <row r="46" spans="1:19" s="37" customFormat="1" ht="18" customHeight="1" thickBot="1" x14ac:dyDescent="0.3">
      <c r="A46" s="33"/>
      <c r="B46" s="47" t="s">
        <v>59</v>
      </c>
      <c r="C46" s="34">
        <f>SUM(C43:C45)</f>
        <v>4.5</v>
      </c>
      <c r="D46" s="34"/>
      <c r="E46" s="35">
        <f>SUM(E43:E45)</f>
        <v>16103.5</v>
      </c>
      <c r="F46" s="34"/>
      <c r="G46" s="35">
        <f>SUM(G43:G45)</f>
        <v>16103.5</v>
      </c>
      <c r="H46" s="35"/>
      <c r="I46" s="35">
        <f>SUM(I45:I45)</f>
        <v>639</v>
      </c>
      <c r="J46" s="35">
        <f>SUM(J44:J45)</f>
        <v>324.64</v>
      </c>
      <c r="K46" s="35"/>
      <c r="L46" s="35"/>
      <c r="M46" s="35"/>
      <c r="N46" s="35"/>
      <c r="O46" s="35"/>
      <c r="P46" s="35">
        <f>SUM(P43:P45)</f>
        <v>19896.5</v>
      </c>
      <c r="Q46" s="35"/>
      <c r="R46" s="35">
        <f>SUM(R43:R45)</f>
        <v>36963.64</v>
      </c>
      <c r="S46" s="36">
        <f>SUM(S43:S45)</f>
        <v>184818.2</v>
      </c>
    </row>
    <row r="47" spans="1:19" s="39" customFormat="1" ht="13.5" customHeight="1" x14ac:dyDescent="0.25">
      <c r="A47" s="98" t="s">
        <v>316</v>
      </c>
      <c r="B47" s="99" t="s">
        <v>85</v>
      </c>
      <c r="C47" s="100"/>
      <c r="D47" s="100"/>
      <c r="E47" s="101"/>
      <c r="F47" s="100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2"/>
    </row>
    <row r="48" spans="1:19" s="42" customFormat="1" x14ac:dyDescent="0.25">
      <c r="A48" s="43" t="s">
        <v>86</v>
      </c>
      <c r="B48" s="21" t="s">
        <v>87</v>
      </c>
      <c r="C48" s="22">
        <v>0.5</v>
      </c>
      <c r="D48" s="22">
        <v>10</v>
      </c>
      <c r="E48" s="23">
        <f>5815*C48</f>
        <v>2907.5</v>
      </c>
      <c r="F48" s="22"/>
      <c r="G48" s="23">
        <f>E48</f>
        <v>2907.5</v>
      </c>
      <c r="H48" s="23"/>
      <c r="I48" s="23"/>
      <c r="J48" s="40"/>
      <c r="K48" s="23">
        <f>G48*0.3</f>
        <v>872.25</v>
      </c>
      <c r="L48" s="41">
        <f>20000*C48-G48-K48</f>
        <v>6220.25</v>
      </c>
      <c r="M48" s="23"/>
      <c r="N48" s="23"/>
      <c r="O48" s="23"/>
      <c r="P48" s="23"/>
      <c r="Q48" s="23"/>
      <c r="R48" s="23">
        <f>G48+K48+L48</f>
        <v>10000</v>
      </c>
      <c r="S48" s="25">
        <f>R48*5</f>
        <v>50000</v>
      </c>
    </row>
    <row r="49" spans="1:20" s="42" customFormat="1" x14ac:dyDescent="0.25">
      <c r="A49" s="43" t="s">
        <v>88</v>
      </c>
      <c r="B49" s="21" t="s">
        <v>89</v>
      </c>
      <c r="C49" s="22">
        <v>3</v>
      </c>
      <c r="D49" s="22">
        <v>9</v>
      </c>
      <c r="E49" s="23">
        <f>5527*C49</f>
        <v>16581</v>
      </c>
      <c r="F49" s="22"/>
      <c r="G49" s="23">
        <f>E49</f>
        <v>16581</v>
      </c>
      <c r="H49" s="23"/>
      <c r="I49" s="23"/>
      <c r="J49" s="40"/>
      <c r="K49" s="23"/>
      <c r="L49" s="41">
        <f>15000*C49-G49-K49</f>
        <v>28419</v>
      </c>
      <c r="M49" s="23"/>
      <c r="N49" s="23"/>
      <c r="O49" s="23"/>
      <c r="P49" s="23"/>
      <c r="Q49" s="23"/>
      <c r="R49" s="23">
        <f>G49+K49+L49</f>
        <v>45000</v>
      </c>
      <c r="S49" s="25">
        <f t="shared" ref="S49:S53" si="14">R49*5</f>
        <v>225000</v>
      </c>
    </row>
    <row r="50" spans="1:20" s="42" customFormat="1" x14ac:dyDescent="0.25">
      <c r="A50" s="43" t="s">
        <v>90</v>
      </c>
      <c r="B50" s="21" t="s">
        <v>91</v>
      </c>
      <c r="C50" s="22">
        <v>1</v>
      </c>
      <c r="D50" s="22">
        <v>10</v>
      </c>
      <c r="E50" s="23">
        <v>5815</v>
      </c>
      <c r="F50" s="22"/>
      <c r="G50" s="23">
        <v>5815</v>
      </c>
      <c r="H50" s="23"/>
      <c r="I50" s="23"/>
      <c r="J50" s="40"/>
      <c r="K50" s="23">
        <f>G50*0.3</f>
        <v>1744.5</v>
      </c>
      <c r="L50" s="41">
        <f>13500-G50-K50</f>
        <v>5940.5</v>
      </c>
      <c r="M50" s="23"/>
      <c r="N50" s="23"/>
      <c r="O50" s="23"/>
      <c r="P50" s="23"/>
      <c r="Q50" s="23"/>
      <c r="R50" s="23">
        <f>G50+K50+L50</f>
        <v>13500</v>
      </c>
      <c r="S50" s="25">
        <f t="shared" si="14"/>
        <v>67500</v>
      </c>
    </row>
    <row r="51" spans="1:20" s="42" customFormat="1" x14ac:dyDescent="0.25">
      <c r="A51" s="43" t="s">
        <v>92</v>
      </c>
      <c r="B51" s="21" t="s">
        <v>93</v>
      </c>
      <c r="C51" s="22">
        <v>1</v>
      </c>
      <c r="D51" s="22">
        <v>4</v>
      </c>
      <c r="E51" s="23">
        <v>4058</v>
      </c>
      <c r="F51" s="22"/>
      <c r="G51" s="23">
        <v>4058</v>
      </c>
      <c r="H51" s="23"/>
      <c r="I51" s="23"/>
      <c r="J51" s="40"/>
      <c r="K51" s="23"/>
      <c r="L51" s="23"/>
      <c r="M51" s="23"/>
      <c r="N51" s="23"/>
      <c r="O51" s="23">
        <f>G51*200%</f>
        <v>8116</v>
      </c>
      <c r="P51" s="23"/>
      <c r="Q51" s="23"/>
      <c r="R51" s="23">
        <f>O51+G51</f>
        <v>12174</v>
      </c>
      <c r="S51" s="25">
        <f t="shared" si="14"/>
        <v>60870</v>
      </c>
    </row>
    <row r="52" spans="1:20" s="42" customFormat="1" x14ac:dyDescent="0.25">
      <c r="A52" s="43" t="s">
        <v>94</v>
      </c>
      <c r="B52" s="21" t="s">
        <v>95</v>
      </c>
      <c r="C52" s="22">
        <v>1</v>
      </c>
      <c r="D52" s="22">
        <v>5</v>
      </c>
      <c r="E52" s="23">
        <v>4345</v>
      </c>
      <c r="F52" s="23"/>
      <c r="G52" s="23">
        <f>E52+F52</f>
        <v>4345</v>
      </c>
      <c r="H52" s="23"/>
      <c r="I52" s="23"/>
      <c r="J52" s="23"/>
      <c r="K52" s="23"/>
      <c r="L52" s="23"/>
      <c r="M52" s="23"/>
      <c r="N52" s="23"/>
      <c r="O52" s="23"/>
      <c r="P52" s="23">
        <f>8000-G52</f>
        <v>3655</v>
      </c>
      <c r="Q52" s="32"/>
      <c r="R52" s="23">
        <f>G52+P52</f>
        <v>8000</v>
      </c>
      <c r="S52" s="25">
        <f t="shared" si="14"/>
        <v>40000</v>
      </c>
    </row>
    <row r="53" spans="1:20" x14ac:dyDescent="0.25">
      <c r="A53" s="43" t="s">
        <v>96</v>
      </c>
      <c r="B53" s="21" t="s">
        <v>97</v>
      </c>
      <c r="C53" s="22">
        <v>0.5</v>
      </c>
      <c r="D53" s="22">
        <v>9</v>
      </c>
      <c r="E53" s="23">
        <v>2763.5</v>
      </c>
      <c r="F53" s="22"/>
      <c r="G53" s="23">
        <f t="shared" ref="G53" si="15">E53+F53</f>
        <v>2763.5</v>
      </c>
      <c r="H53" s="23"/>
      <c r="I53" s="23"/>
      <c r="J53" s="23"/>
      <c r="K53" s="23">
        <f>G53*0.3</f>
        <v>829.05</v>
      </c>
      <c r="L53" s="23">
        <f>6750-G53-K53</f>
        <v>3157.45</v>
      </c>
      <c r="M53" s="23"/>
      <c r="N53" s="23"/>
      <c r="O53" s="23"/>
      <c r="P53" s="23"/>
      <c r="Q53" s="23"/>
      <c r="R53" s="23">
        <f>L53+K53+G53</f>
        <v>6750</v>
      </c>
      <c r="S53" s="25">
        <f t="shared" si="14"/>
        <v>33750</v>
      </c>
    </row>
    <row r="54" spans="1:20" s="45" customFormat="1" ht="13.8" customHeight="1" thickBot="1" x14ac:dyDescent="0.25">
      <c r="A54" s="103"/>
      <c r="B54" s="104" t="s">
        <v>59</v>
      </c>
      <c r="C54" s="105">
        <f>SUM(C48:C53)</f>
        <v>7</v>
      </c>
      <c r="D54" s="105"/>
      <c r="E54" s="106">
        <f>SUM(E48:E53)</f>
        <v>36470</v>
      </c>
      <c r="F54" s="105"/>
      <c r="G54" s="106">
        <f>SUM(G48:G53)</f>
        <v>36470</v>
      </c>
      <c r="H54" s="106"/>
      <c r="I54" s="106"/>
      <c r="J54" s="106"/>
      <c r="K54" s="106">
        <f>SUM(K48:K53)</f>
        <v>3445.8</v>
      </c>
      <c r="L54" s="106">
        <f>SUM(L48:L53)</f>
        <v>43737.2</v>
      </c>
      <c r="M54" s="106"/>
      <c r="N54" s="106"/>
      <c r="O54" s="106">
        <f>SUM(O48:O52)</f>
        <v>8116</v>
      </c>
      <c r="P54" s="106">
        <f>SUM(P48:P53)</f>
        <v>3655</v>
      </c>
      <c r="Q54" s="106"/>
      <c r="R54" s="106">
        <f>SUM(R48:R53)</f>
        <v>95424</v>
      </c>
      <c r="S54" s="107">
        <f>SUM(S48:S53)</f>
        <v>477120</v>
      </c>
    </row>
    <row r="55" spans="1:20" s="38" customFormat="1" ht="22.8" customHeight="1" x14ac:dyDescent="0.25">
      <c r="A55" s="108"/>
      <c r="B55" s="86" t="s">
        <v>98</v>
      </c>
      <c r="C55" s="85"/>
      <c r="D55" s="85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109"/>
      <c r="R55" s="94"/>
      <c r="S55" s="110"/>
      <c r="T55" s="46"/>
    </row>
    <row r="56" spans="1:20" s="38" customFormat="1" x14ac:dyDescent="0.25">
      <c r="A56" s="43" t="s">
        <v>99</v>
      </c>
      <c r="B56" s="21" t="s">
        <v>100</v>
      </c>
      <c r="C56" s="22">
        <v>0.25</v>
      </c>
      <c r="D56" s="22">
        <v>14</v>
      </c>
      <c r="E56" s="23">
        <f>7732*C56</f>
        <v>1933</v>
      </c>
      <c r="F56" s="23">
        <f>E56*10%</f>
        <v>193.3</v>
      </c>
      <c r="G56" s="23">
        <f>E56+F56</f>
        <v>2126.3000000000002</v>
      </c>
      <c r="H56" s="23"/>
      <c r="I56" s="23"/>
      <c r="J56" s="23"/>
      <c r="K56" s="23">
        <f>G56*0.3</f>
        <v>637.89</v>
      </c>
      <c r="L56" s="23">
        <f>20000*C56-G56-K56</f>
        <v>2235.81</v>
      </c>
      <c r="M56" s="23"/>
      <c r="N56" s="23"/>
      <c r="O56" s="23"/>
      <c r="P56" s="23"/>
      <c r="Q56" s="32"/>
      <c r="R56" s="23">
        <f>G56+K56+L56</f>
        <v>5000</v>
      </c>
      <c r="S56" s="25">
        <f>R56*5</f>
        <v>25000</v>
      </c>
      <c r="T56" s="46"/>
    </row>
    <row r="57" spans="1:20" s="38" customFormat="1" x14ac:dyDescent="0.25">
      <c r="A57" s="43" t="s">
        <v>101</v>
      </c>
      <c r="B57" s="21" t="s">
        <v>102</v>
      </c>
      <c r="C57" s="22">
        <v>0.5</v>
      </c>
      <c r="D57" s="22">
        <v>13</v>
      </c>
      <c r="E57" s="23">
        <v>3626</v>
      </c>
      <c r="F57" s="23">
        <f>E57*0.15</f>
        <v>543.9</v>
      </c>
      <c r="G57" s="23">
        <f>E57+F57</f>
        <v>4169.8999999999996</v>
      </c>
      <c r="H57" s="23"/>
      <c r="I57" s="23"/>
      <c r="J57" s="23"/>
      <c r="K57" s="23">
        <f>G57*0.3</f>
        <v>1250.9699999999998</v>
      </c>
      <c r="L57" s="23">
        <f>20000*C57-G57-K57</f>
        <v>4579.130000000001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ref="S57:S59" si="16">R57*5</f>
        <v>50000</v>
      </c>
      <c r="T57" s="46"/>
    </row>
    <row r="58" spans="1:20" s="38" customFormat="1" x14ac:dyDescent="0.25">
      <c r="A58" s="43" t="s">
        <v>103</v>
      </c>
      <c r="B58" s="21" t="s">
        <v>104</v>
      </c>
      <c r="C58" s="22">
        <v>0.5</v>
      </c>
      <c r="D58" s="22">
        <v>13</v>
      </c>
      <c r="E58" s="23">
        <v>3626</v>
      </c>
      <c r="F58" s="23">
        <f>E58*0.15</f>
        <v>543.9</v>
      </c>
      <c r="G58" s="23">
        <f>E58+F58</f>
        <v>4169.8999999999996</v>
      </c>
      <c r="H58" s="23"/>
      <c r="I58" s="23"/>
      <c r="J58" s="23"/>
      <c r="K58" s="23">
        <f>G58*0.3</f>
        <v>1250.9699999999998</v>
      </c>
      <c r="L58" s="23">
        <f>10000-G58-K58</f>
        <v>4579.130000000001</v>
      </c>
      <c r="M58" s="23"/>
      <c r="N58" s="23"/>
      <c r="O58" s="23"/>
      <c r="P58" s="23"/>
      <c r="Q58" s="32"/>
      <c r="R58" s="23">
        <f>G58+K58+L58</f>
        <v>10000</v>
      </c>
      <c r="S58" s="25">
        <f t="shared" si="16"/>
        <v>50000</v>
      </c>
      <c r="T58" s="46"/>
    </row>
    <row r="59" spans="1:20" s="38" customFormat="1" x14ac:dyDescent="0.25">
      <c r="A59" s="43" t="s">
        <v>105</v>
      </c>
      <c r="B59" s="21" t="s">
        <v>106</v>
      </c>
      <c r="C59" s="22">
        <v>1</v>
      </c>
      <c r="D59" s="22">
        <v>5</v>
      </c>
      <c r="E59" s="23">
        <v>4345</v>
      </c>
      <c r="F59" s="23"/>
      <c r="G59" s="23">
        <f>E59+F59</f>
        <v>4345</v>
      </c>
      <c r="H59" s="23"/>
      <c r="I59" s="23"/>
      <c r="J59" s="23"/>
      <c r="K59" s="23"/>
      <c r="L59" s="23"/>
      <c r="M59" s="23"/>
      <c r="N59" s="23"/>
      <c r="O59" s="23"/>
      <c r="P59" s="23">
        <f>8000-G59</f>
        <v>3655</v>
      </c>
      <c r="Q59" s="32"/>
      <c r="R59" s="23">
        <f>G59+P59</f>
        <v>8000</v>
      </c>
      <c r="S59" s="25">
        <f t="shared" si="16"/>
        <v>40000</v>
      </c>
      <c r="T59" s="46"/>
    </row>
    <row r="60" spans="1:20" s="49" customFormat="1" ht="20.399999999999999" customHeight="1" thickBot="1" x14ac:dyDescent="0.3">
      <c r="A60" s="64"/>
      <c r="B60" s="47" t="s">
        <v>59</v>
      </c>
      <c r="C60" s="34">
        <v>2.25</v>
      </c>
      <c r="D60" s="34"/>
      <c r="E60" s="35">
        <f>SUM(E56:E59)</f>
        <v>13530</v>
      </c>
      <c r="F60" s="35">
        <f t="shared" ref="F60" si="17">SUM(F56:F59)</f>
        <v>1281.0999999999999</v>
      </c>
      <c r="G60" s="35">
        <f>SUM(G56:G59)</f>
        <v>14811.099999999999</v>
      </c>
      <c r="H60" s="35"/>
      <c r="I60" s="35"/>
      <c r="J60" s="35"/>
      <c r="K60" s="35">
        <f t="shared" ref="K60:L60" si="18">SUM(K56:K59)</f>
        <v>3139.8299999999995</v>
      </c>
      <c r="L60" s="35">
        <f t="shared" si="18"/>
        <v>11394.070000000002</v>
      </c>
      <c r="M60" s="35"/>
      <c r="N60" s="35"/>
      <c r="O60" s="35"/>
      <c r="P60" s="35">
        <f t="shared" ref="P60:Q60" si="19">SUM(P56:P59)</f>
        <v>3655</v>
      </c>
      <c r="Q60" s="35">
        <f t="shared" si="19"/>
        <v>0</v>
      </c>
      <c r="R60" s="35">
        <f>SUM(G60:Q60)</f>
        <v>33000</v>
      </c>
      <c r="S60" s="36">
        <f>SUM(S56:S59)</f>
        <v>165000</v>
      </c>
      <c r="T60" s="48"/>
    </row>
    <row r="61" spans="1:20" ht="24" customHeight="1" x14ac:dyDescent="0.25">
      <c r="A61" s="18"/>
      <c r="B61" s="86" t="s">
        <v>107</v>
      </c>
      <c r="C61" s="86"/>
      <c r="D61" s="86"/>
      <c r="E61" s="92"/>
      <c r="F61" s="86"/>
      <c r="G61" s="94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3"/>
    </row>
    <row r="62" spans="1:20" s="13" customFormat="1" ht="38.4" customHeight="1" x14ac:dyDescent="0.2">
      <c r="A62" s="28"/>
      <c r="B62" s="29" t="s">
        <v>108</v>
      </c>
      <c r="C62" s="22"/>
      <c r="D62" s="22"/>
      <c r="E62" s="23"/>
      <c r="F62" s="22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5"/>
    </row>
    <row r="63" spans="1:20" ht="13.95" customHeight="1" x14ac:dyDescent="0.25">
      <c r="A63" s="20" t="s">
        <v>109</v>
      </c>
      <c r="B63" s="21" t="s">
        <v>110</v>
      </c>
      <c r="C63" s="22">
        <v>1</v>
      </c>
      <c r="D63" s="22">
        <v>11</v>
      </c>
      <c r="E63" s="23">
        <v>6294</v>
      </c>
      <c r="F63" s="22">
        <f>E63*0.25</f>
        <v>1573.5</v>
      </c>
      <c r="G63" s="23">
        <f t="shared" ref="G63:G126" si="20">E63+F63</f>
        <v>7867.5</v>
      </c>
      <c r="H63" s="23"/>
      <c r="I63" s="23"/>
      <c r="J63" s="23"/>
      <c r="K63" s="23">
        <f>G63*0.3</f>
        <v>2360.25</v>
      </c>
      <c r="L63" s="41">
        <f>20000-G63-K63</f>
        <v>9772.25</v>
      </c>
      <c r="M63" s="23"/>
      <c r="N63" s="23"/>
      <c r="O63" s="23"/>
      <c r="P63" s="23"/>
      <c r="Q63" s="23"/>
      <c r="R63" s="23">
        <f t="shared" ref="R63:R75" si="21">G63+K63+L63</f>
        <v>20000</v>
      </c>
      <c r="S63" s="25">
        <f>R63*5</f>
        <v>100000</v>
      </c>
    </row>
    <row r="64" spans="1:20" x14ac:dyDescent="0.25">
      <c r="A64" s="20" t="s">
        <v>111</v>
      </c>
      <c r="B64" s="21" t="s">
        <v>112</v>
      </c>
      <c r="C64" s="22">
        <v>1.25</v>
      </c>
      <c r="D64" s="22">
        <v>12</v>
      </c>
      <c r="E64" s="23">
        <f>6773*C64</f>
        <v>8466.25</v>
      </c>
      <c r="F64" s="22"/>
      <c r="G64" s="23">
        <f t="shared" si="20"/>
        <v>8466.25</v>
      </c>
      <c r="H64" s="23"/>
      <c r="I64" s="23"/>
      <c r="J64" s="23"/>
      <c r="K64" s="23">
        <f t="shared" ref="K64:K77" si="22">G64*0.3</f>
        <v>2539.875</v>
      </c>
      <c r="L64" s="23">
        <f>20000*C64-G64-K64</f>
        <v>13993.875</v>
      </c>
      <c r="M64" s="23"/>
      <c r="N64" s="23"/>
      <c r="O64" s="23"/>
      <c r="P64" s="23"/>
      <c r="Q64" s="23"/>
      <c r="R64" s="23">
        <f t="shared" si="21"/>
        <v>25000</v>
      </c>
      <c r="S64" s="25">
        <f t="shared" ref="S64:S80" si="23">R64*5</f>
        <v>125000</v>
      </c>
    </row>
    <row r="65" spans="1:20" x14ac:dyDescent="0.25">
      <c r="A65" s="20" t="s">
        <v>113</v>
      </c>
      <c r="B65" s="21" t="s">
        <v>114</v>
      </c>
      <c r="C65" s="22">
        <v>1</v>
      </c>
      <c r="D65" s="22">
        <v>14</v>
      </c>
      <c r="E65" s="23">
        <v>7732</v>
      </c>
      <c r="F65" s="22"/>
      <c r="G65" s="23">
        <f t="shared" si="20"/>
        <v>7732</v>
      </c>
      <c r="H65" s="23"/>
      <c r="I65" s="23"/>
      <c r="J65" s="23"/>
      <c r="K65" s="23">
        <f t="shared" si="22"/>
        <v>2319.6</v>
      </c>
      <c r="L65" s="41">
        <f>20000-G65-K65</f>
        <v>9948.4</v>
      </c>
      <c r="M65" s="23"/>
      <c r="N65" s="23"/>
      <c r="O65" s="23"/>
      <c r="P65" s="23"/>
      <c r="Q65" s="23"/>
      <c r="R65" s="23">
        <f t="shared" si="21"/>
        <v>20000</v>
      </c>
      <c r="S65" s="25">
        <f t="shared" si="23"/>
        <v>100000</v>
      </c>
    </row>
    <row r="66" spans="1:20" x14ac:dyDescent="0.25">
      <c r="A66" s="20" t="s">
        <v>115</v>
      </c>
      <c r="B66" s="21" t="s">
        <v>116</v>
      </c>
      <c r="C66" s="22">
        <v>0.5</v>
      </c>
      <c r="D66" s="22">
        <v>14</v>
      </c>
      <c r="E66" s="23">
        <v>3868</v>
      </c>
      <c r="F66" s="22"/>
      <c r="G66" s="23">
        <f t="shared" si="20"/>
        <v>3868</v>
      </c>
      <c r="H66" s="23"/>
      <c r="I66" s="23"/>
      <c r="J66" s="23"/>
      <c r="K66" s="23">
        <f t="shared" si="22"/>
        <v>1160.3999999999999</v>
      </c>
      <c r="L66" s="41">
        <f>20000/2-G66-K66</f>
        <v>4971.6000000000004</v>
      </c>
      <c r="M66" s="23"/>
      <c r="N66" s="23"/>
      <c r="O66" s="23"/>
      <c r="P66" s="23"/>
      <c r="Q66" s="23"/>
      <c r="R66" s="23">
        <f t="shared" si="21"/>
        <v>10000</v>
      </c>
      <c r="S66" s="25">
        <f t="shared" si="23"/>
        <v>50000</v>
      </c>
    </row>
    <row r="67" spans="1:20" x14ac:dyDescent="0.25">
      <c r="A67" s="20" t="s">
        <v>117</v>
      </c>
      <c r="B67" s="21" t="s">
        <v>118</v>
      </c>
      <c r="C67" s="22">
        <v>0.25</v>
      </c>
      <c r="D67" s="22">
        <v>14</v>
      </c>
      <c r="E67" s="23">
        <f>7732*C67</f>
        <v>1933</v>
      </c>
      <c r="F67" s="22"/>
      <c r="G67" s="23">
        <f t="shared" si="20"/>
        <v>1933</v>
      </c>
      <c r="H67" s="23"/>
      <c r="I67" s="23"/>
      <c r="J67" s="23"/>
      <c r="K67" s="23">
        <f t="shared" si="22"/>
        <v>579.9</v>
      </c>
      <c r="L67" s="41">
        <f>20000*C67-G67-K67</f>
        <v>2487.1</v>
      </c>
      <c r="M67" s="23"/>
      <c r="N67" s="23"/>
      <c r="O67" s="23"/>
      <c r="P67" s="23"/>
      <c r="Q67" s="23"/>
      <c r="R67" s="23">
        <f t="shared" si="21"/>
        <v>5000</v>
      </c>
      <c r="S67" s="25">
        <f t="shared" si="23"/>
        <v>25000</v>
      </c>
    </row>
    <row r="68" spans="1:20" x14ac:dyDescent="0.25">
      <c r="A68" s="20" t="s">
        <v>119</v>
      </c>
      <c r="B68" s="21" t="s">
        <v>120</v>
      </c>
      <c r="C68" s="22">
        <v>2.5</v>
      </c>
      <c r="D68" s="22">
        <v>13</v>
      </c>
      <c r="E68" s="23">
        <f>7253*C68</f>
        <v>18132.5</v>
      </c>
      <c r="F68" s="22"/>
      <c r="G68" s="23">
        <f t="shared" si="20"/>
        <v>18132.5</v>
      </c>
      <c r="H68" s="23"/>
      <c r="I68" s="23"/>
      <c r="J68" s="23"/>
      <c r="K68" s="23">
        <f t="shared" si="22"/>
        <v>5439.75</v>
      </c>
      <c r="L68" s="41">
        <f t="shared" ref="L68:L73" si="24">20000*C68-G68-K68-N68</f>
        <v>24229.85</v>
      </c>
      <c r="M68" s="23"/>
      <c r="N68" s="23">
        <f>879.16*C68</f>
        <v>2197.9</v>
      </c>
      <c r="O68" s="23"/>
      <c r="P68" s="23"/>
      <c r="Q68" s="23"/>
      <c r="R68" s="23">
        <f t="shared" ref="R68:R73" si="25">G68+K68+L68+N68</f>
        <v>50000</v>
      </c>
      <c r="S68" s="25">
        <f t="shared" si="23"/>
        <v>250000</v>
      </c>
    </row>
    <row r="69" spans="1:20" x14ac:dyDescent="0.25">
      <c r="A69" s="20" t="s">
        <v>119</v>
      </c>
      <c r="B69" s="21" t="s">
        <v>121</v>
      </c>
      <c r="C69" s="22">
        <v>0.5</v>
      </c>
      <c r="D69" s="22">
        <v>14</v>
      </c>
      <c r="E69" s="23">
        <f>7732*C69</f>
        <v>3866</v>
      </c>
      <c r="F69" s="22"/>
      <c r="G69" s="23">
        <f t="shared" si="20"/>
        <v>3866</v>
      </c>
      <c r="H69" s="23"/>
      <c r="I69" s="23"/>
      <c r="J69" s="23"/>
      <c r="K69" s="23">
        <f t="shared" si="22"/>
        <v>1159.8</v>
      </c>
      <c r="L69" s="41">
        <f t="shared" si="24"/>
        <v>4505.5999999999995</v>
      </c>
      <c r="M69" s="23"/>
      <c r="N69" s="23">
        <v>468.6</v>
      </c>
      <c r="O69" s="23"/>
      <c r="P69" s="23"/>
      <c r="Q69" s="23"/>
      <c r="R69" s="23">
        <f t="shared" si="25"/>
        <v>10000</v>
      </c>
      <c r="S69" s="25">
        <f t="shared" si="23"/>
        <v>50000</v>
      </c>
    </row>
    <row r="70" spans="1:20" x14ac:dyDescent="0.25">
      <c r="A70" s="20" t="s">
        <v>119</v>
      </c>
      <c r="B70" s="21" t="s">
        <v>122</v>
      </c>
      <c r="C70" s="22">
        <v>0.25</v>
      </c>
      <c r="D70" s="22">
        <v>14</v>
      </c>
      <c r="E70" s="23">
        <f>7732*C70</f>
        <v>1933</v>
      </c>
      <c r="F70" s="22"/>
      <c r="G70" s="23">
        <f t="shared" si="20"/>
        <v>1933</v>
      </c>
      <c r="H70" s="23"/>
      <c r="I70" s="23"/>
      <c r="J70" s="23"/>
      <c r="K70" s="23">
        <f t="shared" si="22"/>
        <v>579.9</v>
      </c>
      <c r="L70" s="41">
        <f t="shared" si="24"/>
        <v>2252.7999999999997</v>
      </c>
      <c r="M70" s="23"/>
      <c r="N70" s="23">
        <v>234.3</v>
      </c>
      <c r="O70" s="23"/>
      <c r="P70" s="23"/>
      <c r="Q70" s="23"/>
      <c r="R70" s="23">
        <f t="shared" si="25"/>
        <v>5000</v>
      </c>
      <c r="S70" s="25">
        <f t="shared" si="23"/>
        <v>25000</v>
      </c>
    </row>
    <row r="71" spans="1:20" x14ac:dyDescent="0.25">
      <c r="A71" s="20" t="s">
        <v>119</v>
      </c>
      <c r="B71" s="21" t="s">
        <v>123</v>
      </c>
      <c r="C71" s="22">
        <v>0.5</v>
      </c>
      <c r="D71" s="22">
        <v>14</v>
      </c>
      <c r="E71" s="23">
        <f>7732*C71</f>
        <v>3866</v>
      </c>
      <c r="F71" s="22"/>
      <c r="G71" s="23">
        <f t="shared" si="20"/>
        <v>3866</v>
      </c>
      <c r="H71" s="23"/>
      <c r="I71" s="23"/>
      <c r="J71" s="23"/>
      <c r="K71" s="23">
        <f t="shared" si="22"/>
        <v>1159.8</v>
      </c>
      <c r="L71" s="41">
        <f t="shared" si="24"/>
        <v>4739.8999999999996</v>
      </c>
      <c r="M71" s="23"/>
      <c r="N71" s="23">
        <v>234.3</v>
      </c>
      <c r="O71" s="23"/>
      <c r="P71" s="23"/>
      <c r="Q71" s="23"/>
      <c r="R71" s="23">
        <f t="shared" si="25"/>
        <v>10000</v>
      </c>
      <c r="S71" s="25">
        <f t="shared" si="23"/>
        <v>50000</v>
      </c>
    </row>
    <row r="72" spans="1:20" x14ac:dyDescent="0.25">
      <c r="A72" s="20" t="s">
        <v>119</v>
      </c>
      <c r="B72" s="21" t="s">
        <v>124</v>
      </c>
      <c r="C72" s="22">
        <v>1</v>
      </c>
      <c r="D72" s="22">
        <v>14</v>
      </c>
      <c r="E72" s="23">
        <f>7732*C72</f>
        <v>7732</v>
      </c>
      <c r="F72" s="22"/>
      <c r="G72" s="23">
        <f t="shared" si="20"/>
        <v>7732</v>
      </c>
      <c r="H72" s="23"/>
      <c r="I72" s="23"/>
      <c r="J72" s="23"/>
      <c r="K72" s="23">
        <f t="shared" si="22"/>
        <v>2319.6</v>
      </c>
      <c r="L72" s="41">
        <f t="shared" si="24"/>
        <v>9011.1999999999989</v>
      </c>
      <c r="M72" s="23"/>
      <c r="N72" s="23">
        <v>937.2</v>
      </c>
      <c r="O72" s="23"/>
      <c r="P72" s="23"/>
      <c r="Q72" s="23"/>
      <c r="R72" s="23">
        <f t="shared" si="25"/>
        <v>20000</v>
      </c>
      <c r="S72" s="25">
        <f t="shared" si="23"/>
        <v>100000</v>
      </c>
    </row>
    <row r="73" spans="1:20" x14ac:dyDescent="0.25">
      <c r="A73" s="20" t="s">
        <v>119</v>
      </c>
      <c r="B73" s="21" t="s">
        <v>125</v>
      </c>
      <c r="C73" s="22">
        <v>0.5</v>
      </c>
      <c r="D73" s="22">
        <v>13</v>
      </c>
      <c r="E73" s="23">
        <f>7253*C73</f>
        <v>3626.5</v>
      </c>
      <c r="F73" s="22"/>
      <c r="G73" s="23">
        <f t="shared" si="20"/>
        <v>3626.5</v>
      </c>
      <c r="H73" s="23"/>
      <c r="I73" s="23"/>
      <c r="J73" s="23"/>
      <c r="K73" s="23">
        <f t="shared" si="22"/>
        <v>1087.95</v>
      </c>
      <c r="L73" s="41">
        <f t="shared" si="24"/>
        <v>4845.97</v>
      </c>
      <c r="M73" s="23"/>
      <c r="N73" s="23">
        <f>879.16*C73</f>
        <v>439.58</v>
      </c>
      <c r="O73" s="23"/>
      <c r="P73" s="23"/>
      <c r="Q73" s="23"/>
      <c r="R73" s="23">
        <f t="shared" si="25"/>
        <v>10000</v>
      </c>
      <c r="S73" s="25">
        <f t="shared" si="23"/>
        <v>50000</v>
      </c>
    </row>
    <row r="74" spans="1:20" s="13" customFormat="1" x14ac:dyDescent="0.25">
      <c r="A74" s="20" t="s">
        <v>119</v>
      </c>
      <c r="B74" s="21" t="s">
        <v>126</v>
      </c>
      <c r="C74" s="22">
        <v>0.25</v>
      </c>
      <c r="D74" s="22">
        <v>14</v>
      </c>
      <c r="E74" s="23">
        <f>7732*C74</f>
        <v>1933</v>
      </c>
      <c r="F74" s="22"/>
      <c r="G74" s="23">
        <f>E74+F74</f>
        <v>1933</v>
      </c>
      <c r="H74" s="23"/>
      <c r="I74" s="23"/>
      <c r="J74" s="23"/>
      <c r="K74" s="23">
        <f t="shared" si="22"/>
        <v>579.9</v>
      </c>
      <c r="L74" s="23">
        <f>20000*C74-G74-K74</f>
        <v>2487.1</v>
      </c>
      <c r="M74" s="23"/>
      <c r="N74" s="23">
        <v>234.3</v>
      </c>
      <c r="O74" s="23"/>
      <c r="P74" s="23"/>
      <c r="Q74" s="23"/>
      <c r="R74" s="23">
        <f>G74+K74+L74</f>
        <v>5000</v>
      </c>
      <c r="S74" s="25">
        <f t="shared" si="23"/>
        <v>25000</v>
      </c>
      <c r="T74" s="52"/>
    </row>
    <row r="75" spans="1:20" x14ac:dyDescent="0.25">
      <c r="A75" s="20" t="s">
        <v>127</v>
      </c>
      <c r="B75" s="21" t="s">
        <v>128</v>
      </c>
      <c r="C75" s="22">
        <v>1</v>
      </c>
      <c r="D75" s="22">
        <v>9</v>
      </c>
      <c r="E75" s="23">
        <v>5527</v>
      </c>
      <c r="F75" s="22">
        <f>E75*0.1</f>
        <v>552.70000000000005</v>
      </c>
      <c r="G75" s="23">
        <f t="shared" si="20"/>
        <v>6079.7</v>
      </c>
      <c r="H75" s="23"/>
      <c r="I75" s="23"/>
      <c r="J75" s="23"/>
      <c r="K75" s="23">
        <f t="shared" si="22"/>
        <v>1823.9099999999999</v>
      </c>
      <c r="L75" s="41">
        <v>5596.39</v>
      </c>
      <c r="M75" s="23"/>
      <c r="N75" s="23"/>
      <c r="O75" s="23"/>
      <c r="P75" s="23"/>
      <c r="Q75" s="23"/>
      <c r="R75" s="23">
        <f t="shared" si="21"/>
        <v>13500</v>
      </c>
      <c r="S75" s="25">
        <f t="shared" si="23"/>
        <v>67500</v>
      </c>
    </row>
    <row r="76" spans="1:20" x14ac:dyDescent="0.25">
      <c r="A76" s="20" t="s">
        <v>129</v>
      </c>
      <c r="B76" s="21" t="s">
        <v>130</v>
      </c>
      <c r="C76" s="22">
        <v>10</v>
      </c>
      <c r="D76" s="22">
        <v>9</v>
      </c>
      <c r="E76" s="23">
        <f>5527*C76</f>
        <v>55270</v>
      </c>
      <c r="F76" s="22"/>
      <c r="G76" s="23">
        <f t="shared" si="20"/>
        <v>55270</v>
      </c>
      <c r="H76" s="23"/>
      <c r="I76" s="23">
        <f t="shared" ref="I76:I78" si="26">G76*0.1</f>
        <v>5527</v>
      </c>
      <c r="J76" s="23"/>
      <c r="K76" s="23">
        <f t="shared" si="22"/>
        <v>16581</v>
      </c>
      <c r="L76" s="41">
        <f>13500*C76-G76-I76-K76-N76</f>
        <v>50922.6</v>
      </c>
      <c r="M76" s="23"/>
      <c r="N76" s="23">
        <f>669.94*C76</f>
        <v>6699.4000000000005</v>
      </c>
      <c r="O76" s="23"/>
      <c r="P76" s="23"/>
      <c r="Q76" s="23"/>
      <c r="R76" s="23">
        <f>G76+I76+K76+L76+N76</f>
        <v>135000</v>
      </c>
      <c r="S76" s="25">
        <f t="shared" si="23"/>
        <v>675000</v>
      </c>
    </row>
    <row r="77" spans="1:20" x14ac:dyDescent="0.25">
      <c r="A77" s="20" t="s">
        <v>131</v>
      </c>
      <c r="B77" s="21" t="s">
        <v>132</v>
      </c>
      <c r="C77" s="22">
        <v>1</v>
      </c>
      <c r="D77" s="22">
        <v>6</v>
      </c>
      <c r="E77" s="23">
        <v>4633</v>
      </c>
      <c r="F77" s="22"/>
      <c r="G77" s="23">
        <f t="shared" si="20"/>
        <v>4633</v>
      </c>
      <c r="H77" s="23"/>
      <c r="I77" s="23">
        <f t="shared" si="26"/>
        <v>463.3</v>
      </c>
      <c r="J77" s="23"/>
      <c r="K77" s="23">
        <f t="shared" si="22"/>
        <v>1389.8999999999999</v>
      </c>
      <c r="L77" s="41">
        <f t="shared" ref="L77" si="27">13500-G77-I77-K77</f>
        <v>7013.8000000000011</v>
      </c>
      <c r="M77" s="23"/>
      <c r="N77" s="23"/>
      <c r="O77" s="23"/>
      <c r="P77" s="23"/>
      <c r="Q77" s="23"/>
      <c r="R77" s="23">
        <f t="shared" ref="R77" si="28">G77+I77+K77+L77</f>
        <v>13500</v>
      </c>
      <c r="S77" s="25">
        <f t="shared" si="23"/>
        <v>67500</v>
      </c>
    </row>
    <row r="78" spans="1:20" x14ac:dyDescent="0.25">
      <c r="A78" s="20" t="s">
        <v>133</v>
      </c>
      <c r="B78" s="21" t="s">
        <v>134</v>
      </c>
      <c r="C78" s="22">
        <v>6</v>
      </c>
      <c r="D78" s="22">
        <v>4</v>
      </c>
      <c r="E78" s="23">
        <f>4058*C78</f>
        <v>24348</v>
      </c>
      <c r="F78" s="22"/>
      <c r="G78" s="23">
        <f t="shared" si="20"/>
        <v>24348</v>
      </c>
      <c r="H78" s="23"/>
      <c r="I78" s="23">
        <f t="shared" si="26"/>
        <v>2434.8000000000002</v>
      </c>
      <c r="J78" s="23"/>
      <c r="K78" s="23"/>
      <c r="L78" s="23"/>
      <c r="M78" s="23"/>
      <c r="N78" s="23">
        <f>475.33*C78</f>
        <v>2851.98</v>
      </c>
      <c r="O78" s="23"/>
      <c r="P78" s="23">
        <f>8000*C78-G78</f>
        <v>23652</v>
      </c>
      <c r="Q78" s="23"/>
      <c r="R78" s="23">
        <f>E78+I78+P78+N78</f>
        <v>53286.780000000006</v>
      </c>
      <c r="S78" s="25">
        <f t="shared" si="23"/>
        <v>266433.90000000002</v>
      </c>
    </row>
    <row r="79" spans="1:20" x14ac:dyDescent="0.25">
      <c r="A79" s="20" t="s">
        <v>135</v>
      </c>
      <c r="B79" s="21" t="s">
        <v>136</v>
      </c>
      <c r="C79" s="22">
        <v>1</v>
      </c>
      <c r="D79" s="22">
        <v>3</v>
      </c>
      <c r="E79" s="23">
        <v>3770</v>
      </c>
      <c r="F79" s="22"/>
      <c r="G79" s="23">
        <f t="shared" si="20"/>
        <v>3770</v>
      </c>
      <c r="H79" s="23"/>
      <c r="I79" s="23"/>
      <c r="J79" s="23"/>
      <c r="K79" s="23"/>
      <c r="L79" s="23"/>
      <c r="M79" s="23"/>
      <c r="N79" s="23"/>
      <c r="O79" s="23"/>
      <c r="P79" s="23">
        <f t="shared" ref="P79:P80" si="29">8000-G79</f>
        <v>4230</v>
      </c>
      <c r="Q79" s="23"/>
      <c r="R79" s="23">
        <f>G79+P79</f>
        <v>8000</v>
      </c>
      <c r="S79" s="25">
        <f t="shared" si="23"/>
        <v>40000</v>
      </c>
      <c r="T79" s="53"/>
    </row>
    <row r="80" spans="1:20" x14ac:dyDescent="0.25">
      <c r="A80" s="20" t="s">
        <v>137</v>
      </c>
      <c r="B80" s="21" t="s">
        <v>138</v>
      </c>
      <c r="C80" s="22">
        <v>1</v>
      </c>
      <c r="D80" s="22">
        <v>4</v>
      </c>
      <c r="E80" s="23">
        <v>4058</v>
      </c>
      <c r="F80" s="22"/>
      <c r="G80" s="23">
        <f t="shared" si="20"/>
        <v>4058</v>
      </c>
      <c r="H80" s="23"/>
      <c r="I80" s="23"/>
      <c r="J80" s="23"/>
      <c r="K80" s="23"/>
      <c r="L80" s="23"/>
      <c r="M80" s="23"/>
      <c r="N80" s="23"/>
      <c r="O80" s="23"/>
      <c r="P80" s="23">
        <f t="shared" si="29"/>
        <v>3942</v>
      </c>
      <c r="Q80" s="23"/>
      <c r="R80" s="23">
        <f>G80+P80</f>
        <v>8000</v>
      </c>
      <c r="S80" s="25">
        <f t="shared" si="23"/>
        <v>40000</v>
      </c>
      <c r="T80" s="53"/>
    </row>
    <row r="81" spans="1:20" s="27" customFormat="1" ht="24.6" customHeight="1" thickBot="1" x14ac:dyDescent="0.3">
      <c r="A81" s="64"/>
      <c r="B81" s="47" t="s">
        <v>59</v>
      </c>
      <c r="C81" s="34">
        <f>SUM(C63:C80)</f>
        <v>29.5</v>
      </c>
      <c r="D81" s="34"/>
      <c r="E81" s="35">
        <f>SUM(E63:E80)</f>
        <v>166988.25</v>
      </c>
      <c r="F81" s="34">
        <f>SUM(F63:F80)</f>
        <v>2126.1999999999998</v>
      </c>
      <c r="G81" s="35">
        <f>SUM(G63:G80)</f>
        <v>169114.45</v>
      </c>
      <c r="H81" s="35"/>
      <c r="I81" s="35">
        <f>SUM(I63:I80)</f>
        <v>8425.1</v>
      </c>
      <c r="J81" s="35"/>
      <c r="K81" s="35">
        <f>SUM(K63:K80)</f>
        <v>41081.534999999996</v>
      </c>
      <c r="L81" s="35">
        <f>SUM(L63:L80)</f>
        <v>156778.435</v>
      </c>
      <c r="M81" s="35"/>
      <c r="N81" s="35">
        <f>SUM(N68:N80)</f>
        <v>14297.560000000001</v>
      </c>
      <c r="O81" s="35"/>
      <c r="P81" s="35">
        <f>SUM(P63:P80)</f>
        <v>31824</v>
      </c>
      <c r="Q81" s="35"/>
      <c r="R81" s="35">
        <f>SUM(R63:R80)</f>
        <v>421286.78</v>
      </c>
      <c r="S81" s="36">
        <f>SUM(S63:S80)</f>
        <v>2106433.9</v>
      </c>
      <c r="T81" s="54"/>
    </row>
    <row r="82" spans="1:20" s="13" customFormat="1" ht="20.399999999999999" customHeight="1" x14ac:dyDescent="0.2">
      <c r="A82" s="18"/>
      <c r="B82" s="55" t="s">
        <v>139</v>
      </c>
      <c r="C82" s="85"/>
      <c r="D82" s="85"/>
      <c r="E82" s="94"/>
      <c r="F82" s="85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110"/>
      <c r="T82" s="52"/>
    </row>
    <row r="83" spans="1:20" s="13" customFormat="1" x14ac:dyDescent="0.25">
      <c r="A83" s="20" t="s">
        <v>140</v>
      </c>
      <c r="B83" s="21" t="s">
        <v>100</v>
      </c>
      <c r="C83" s="22">
        <v>1</v>
      </c>
      <c r="D83" s="22">
        <v>12</v>
      </c>
      <c r="E83" s="23">
        <v>6773</v>
      </c>
      <c r="F83" s="22">
        <f>E83*0.25</f>
        <v>1693.25</v>
      </c>
      <c r="G83" s="23">
        <f t="shared" ref="G83:G110" si="30">E83+F83</f>
        <v>8466.25</v>
      </c>
      <c r="H83" s="23"/>
      <c r="I83" s="23"/>
      <c r="J83" s="23"/>
      <c r="K83" s="23">
        <f>G83*0.3</f>
        <v>2539.875</v>
      </c>
      <c r="L83" s="23">
        <f t="shared" ref="L83" si="31">20000-G83-K83</f>
        <v>8993.875</v>
      </c>
      <c r="M83" s="23"/>
      <c r="N83" s="23"/>
      <c r="O83" s="23"/>
      <c r="P83" s="23"/>
      <c r="Q83" s="23"/>
      <c r="R83" s="23">
        <f t="shared" ref="R83:R85" si="32">G83+K83+L83</f>
        <v>20000</v>
      </c>
      <c r="S83" s="25">
        <f>R83*5</f>
        <v>100000</v>
      </c>
      <c r="T83" s="52"/>
    </row>
    <row r="84" spans="1:20" s="13" customFormat="1" x14ac:dyDescent="0.25">
      <c r="A84" s="20" t="s">
        <v>141</v>
      </c>
      <c r="B84" s="21" t="s">
        <v>142</v>
      </c>
      <c r="C84" s="22">
        <v>1.5</v>
      </c>
      <c r="D84" s="22">
        <v>14</v>
      </c>
      <c r="E84" s="23">
        <v>11598</v>
      </c>
      <c r="F84" s="22"/>
      <c r="G84" s="23">
        <f t="shared" si="30"/>
        <v>11598</v>
      </c>
      <c r="H84" s="23"/>
      <c r="I84" s="23"/>
      <c r="J84" s="23"/>
      <c r="K84" s="23">
        <f t="shared" ref="K84:K108" si="33">G84*0.3</f>
        <v>3479.4</v>
      </c>
      <c r="L84" s="23">
        <f>30000-G84-K84</f>
        <v>14922.6</v>
      </c>
      <c r="M84" s="23"/>
      <c r="N84" s="23"/>
      <c r="O84" s="23"/>
      <c r="P84" s="23"/>
      <c r="Q84" s="23"/>
      <c r="R84" s="23">
        <f t="shared" si="32"/>
        <v>30000</v>
      </c>
      <c r="S84" s="25">
        <f t="shared" ref="S84:S110" si="34">R84*5</f>
        <v>150000</v>
      </c>
      <c r="T84" s="52"/>
    </row>
    <row r="85" spans="1:20" s="13" customFormat="1" x14ac:dyDescent="0.25">
      <c r="A85" s="20" t="s">
        <v>143</v>
      </c>
      <c r="B85" s="21" t="s">
        <v>144</v>
      </c>
      <c r="C85" s="22">
        <v>1</v>
      </c>
      <c r="D85" s="22">
        <v>12</v>
      </c>
      <c r="E85" s="23">
        <v>6773</v>
      </c>
      <c r="F85" s="23">
        <f>E85*0.15</f>
        <v>1015.9499999999999</v>
      </c>
      <c r="G85" s="23">
        <f t="shared" si="30"/>
        <v>7788.95</v>
      </c>
      <c r="H85" s="23"/>
      <c r="I85" s="23"/>
      <c r="J85" s="23"/>
      <c r="K85" s="23">
        <f t="shared" si="33"/>
        <v>2336.6849999999999</v>
      </c>
      <c r="L85" s="23">
        <f t="shared" ref="L85" si="35">20000-G85-K85</f>
        <v>9874.3649999999998</v>
      </c>
      <c r="M85" s="23"/>
      <c r="N85" s="23"/>
      <c r="O85" s="23"/>
      <c r="P85" s="23"/>
      <c r="Q85" s="23"/>
      <c r="R85" s="23">
        <f t="shared" si="32"/>
        <v>20000</v>
      </c>
      <c r="S85" s="25">
        <f t="shared" si="34"/>
        <v>100000</v>
      </c>
      <c r="T85" s="52"/>
    </row>
    <row r="86" spans="1:20" s="13" customFormat="1" x14ac:dyDescent="0.25">
      <c r="A86" s="20" t="s">
        <v>145</v>
      </c>
      <c r="B86" s="21" t="s">
        <v>146</v>
      </c>
      <c r="C86" s="22">
        <v>1</v>
      </c>
      <c r="D86" s="22">
        <v>11</v>
      </c>
      <c r="E86" s="23">
        <v>6294</v>
      </c>
      <c r="F86" s="22"/>
      <c r="G86" s="23">
        <f t="shared" si="30"/>
        <v>6294</v>
      </c>
      <c r="H86" s="23"/>
      <c r="I86" s="23"/>
      <c r="J86" s="23"/>
      <c r="K86" s="23">
        <f t="shared" si="33"/>
        <v>1888.1999999999998</v>
      </c>
      <c r="L86" s="23">
        <f>20000-G86-K86</f>
        <v>11817.8</v>
      </c>
      <c r="M86" s="23"/>
      <c r="N86" s="23"/>
      <c r="O86" s="23"/>
      <c r="P86" s="23"/>
      <c r="Q86" s="23"/>
      <c r="R86" s="23">
        <f>G86+K86+L86</f>
        <v>20000</v>
      </c>
      <c r="S86" s="25">
        <f t="shared" si="34"/>
        <v>100000</v>
      </c>
      <c r="T86" s="52"/>
    </row>
    <row r="87" spans="1:20" s="13" customFormat="1" x14ac:dyDescent="0.25">
      <c r="A87" s="20" t="s">
        <v>147</v>
      </c>
      <c r="B87" s="21" t="s">
        <v>148</v>
      </c>
      <c r="C87" s="22">
        <v>1.5</v>
      </c>
      <c r="D87" s="22">
        <v>11</v>
      </c>
      <c r="E87" s="23">
        <v>6294</v>
      </c>
      <c r="F87" s="22"/>
      <c r="G87" s="23">
        <f t="shared" si="30"/>
        <v>6294</v>
      </c>
      <c r="H87" s="23"/>
      <c r="I87" s="23"/>
      <c r="J87" s="23"/>
      <c r="K87" s="23">
        <f t="shared" si="33"/>
        <v>1888.1999999999998</v>
      </c>
      <c r="L87" s="23">
        <f t="shared" ref="L87" si="36">20000-G87-K87</f>
        <v>11817.8</v>
      </c>
      <c r="M87" s="23"/>
      <c r="N87" s="23"/>
      <c r="O87" s="23"/>
      <c r="P87" s="23"/>
      <c r="Q87" s="23"/>
      <c r="R87" s="23">
        <f t="shared" ref="R87:R102" si="37">G87+K87+L87</f>
        <v>20000</v>
      </c>
      <c r="S87" s="25">
        <f t="shared" si="34"/>
        <v>100000</v>
      </c>
      <c r="T87" s="52"/>
    </row>
    <row r="88" spans="1:20" s="13" customFormat="1" x14ac:dyDescent="0.25">
      <c r="A88" s="20" t="s">
        <v>149</v>
      </c>
      <c r="B88" s="21" t="s">
        <v>150</v>
      </c>
      <c r="C88" s="22">
        <v>0.5</v>
      </c>
      <c r="D88" s="22">
        <v>14</v>
      </c>
      <c r="E88" s="23">
        <f>7732*C88</f>
        <v>3866</v>
      </c>
      <c r="F88" s="22"/>
      <c r="G88" s="23">
        <f t="shared" si="30"/>
        <v>3866</v>
      </c>
      <c r="H88" s="23"/>
      <c r="I88" s="23"/>
      <c r="J88" s="23"/>
      <c r="K88" s="23">
        <f t="shared" si="33"/>
        <v>1159.8</v>
      </c>
      <c r="L88" s="23">
        <f>20000*C88-G88-K88</f>
        <v>4974.2</v>
      </c>
      <c r="M88" s="23"/>
      <c r="N88" s="23"/>
      <c r="O88" s="23"/>
      <c r="P88" s="23"/>
      <c r="Q88" s="23"/>
      <c r="R88" s="23">
        <f t="shared" si="37"/>
        <v>10000</v>
      </c>
      <c r="S88" s="25">
        <f t="shared" si="34"/>
        <v>50000</v>
      </c>
      <c r="T88" s="52"/>
    </row>
    <row r="89" spans="1:20" s="13" customFormat="1" x14ac:dyDescent="0.25">
      <c r="A89" s="20" t="s">
        <v>151</v>
      </c>
      <c r="B89" s="21" t="s">
        <v>104</v>
      </c>
      <c r="C89" s="22">
        <v>0.5</v>
      </c>
      <c r="D89" s="22">
        <v>11</v>
      </c>
      <c r="E89" s="23">
        <v>3147</v>
      </c>
      <c r="F89" s="23">
        <f>E89*0.15</f>
        <v>472.04999999999995</v>
      </c>
      <c r="G89" s="23">
        <f t="shared" si="30"/>
        <v>3619.05</v>
      </c>
      <c r="H89" s="23"/>
      <c r="I89" s="23"/>
      <c r="J89" s="23"/>
      <c r="K89" s="23">
        <f t="shared" si="33"/>
        <v>1085.7149999999999</v>
      </c>
      <c r="L89" s="23">
        <f>20000/2-G89-K89</f>
        <v>5295.2349999999997</v>
      </c>
      <c r="M89" s="23"/>
      <c r="N89" s="23"/>
      <c r="O89" s="23"/>
      <c r="P89" s="23"/>
      <c r="Q89" s="23"/>
      <c r="R89" s="23">
        <f t="shared" si="37"/>
        <v>10000</v>
      </c>
      <c r="S89" s="25">
        <f t="shared" si="34"/>
        <v>50000</v>
      </c>
      <c r="T89" s="52"/>
    </row>
    <row r="90" spans="1:20" s="13" customFormat="1" x14ac:dyDescent="0.25">
      <c r="A90" s="20" t="s">
        <v>152</v>
      </c>
      <c r="B90" s="21" t="s">
        <v>153</v>
      </c>
      <c r="C90" s="22">
        <v>2</v>
      </c>
      <c r="D90" s="22">
        <v>14</v>
      </c>
      <c r="E90" s="23">
        <f>7732*C90</f>
        <v>15464</v>
      </c>
      <c r="F90" s="23">
        <f>E90*0.15</f>
        <v>2319.6</v>
      </c>
      <c r="G90" s="23">
        <f t="shared" si="30"/>
        <v>17783.599999999999</v>
      </c>
      <c r="H90" s="23"/>
      <c r="I90" s="23"/>
      <c r="J90" s="23"/>
      <c r="K90" s="23">
        <f t="shared" si="33"/>
        <v>5335.079999999999</v>
      </c>
      <c r="L90" s="23">
        <f>20000*C90-G90-K90</f>
        <v>16881.320000000003</v>
      </c>
      <c r="M90" s="23"/>
      <c r="N90" s="23"/>
      <c r="O90" s="23"/>
      <c r="P90" s="23"/>
      <c r="Q90" s="23"/>
      <c r="R90" s="23">
        <f t="shared" si="37"/>
        <v>40000</v>
      </c>
      <c r="S90" s="25">
        <f t="shared" si="34"/>
        <v>200000</v>
      </c>
      <c r="T90" s="52"/>
    </row>
    <row r="91" spans="1:20" s="13" customFormat="1" x14ac:dyDescent="0.25">
      <c r="A91" s="20" t="s">
        <v>154</v>
      </c>
      <c r="B91" s="21" t="s">
        <v>155</v>
      </c>
      <c r="C91" s="22">
        <v>0.75</v>
      </c>
      <c r="D91" s="22">
        <v>13</v>
      </c>
      <c r="E91" s="23">
        <f>7253*C91</f>
        <v>5439.75</v>
      </c>
      <c r="F91" s="22"/>
      <c r="G91" s="23">
        <f t="shared" si="30"/>
        <v>5439.75</v>
      </c>
      <c r="H91" s="23"/>
      <c r="I91" s="23"/>
      <c r="J91" s="23"/>
      <c r="K91" s="23">
        <f t="shared" si="33"/>
        <v>1631.925</v>
      </c>
      <c r="L91" s="23">
        <f>20000-G91-K91</f>
        <v>12928.325000000001</v>
      </c>
      <c r="M91" s="23"/>
      <c r="N91" s="23"/>
      <c r="O91" s="23"/>
      <c r="P91" s="23"/>
      <c r="Q91" s="23"/>
      <c r="R91" s="23">
        <f t="shared" si="37"/>
        <v>20000</v>
      </c>
      <c r="S91" s="25">
        <f t="shared" si="34"/>
        <v>100000</v>
      </c>
      <c r="T91" s="52"/>
    </row>
    <row r="92" spans="1:20" x14ac:dyDescent="0.25">
      <c r="A92" s="20" t="s">
        <v>156</v>
      </c>
      <c r="B92" s="21" t="s">
        <v>157</v>
      </c>
      <c r="C92" s="22">
        <v>0.25</v>
      </c>
      <c r="D92" s="22">
        <v>14</v>
      </c>
      <c r="E92" s="23">
        <f>7732*C92</f>
        <v>1933</v>
      </c>
      <c r="F92" s="23">
        <f>E92*0.15</f>
        <v>289.95</v>
      </c>
      <c r="G92" s="23">
        <f t="shared" si="30"/>
        <v>2222.9499999999998</v>
      </c>
      <c r="H92" s="23"/>
      <c r="I92" s="23"/>
      <c r="J92" s="23"/>
      <c r="K92" s="23">
        <f t="shared" si="33"/>
        <v>666.88499999999988</v>
      </c>
      <c r="L92" s="23">
        <f>20000-G92-K92</f>
        <v>17110.165000000001</v>
      </c>
      <c r="M92" s="23"/>
      <c r="N92" s="23"/>
      <c r="O92" s="23"/>
      <c r="P92" s="23"/>
      <c r="Q92" s="23"/>
      <c r="R92" s="23">
        <f t="shared" si="37"/>
        <v>20000</v>
      </c>
      <c r="S92" s="25">
        <f t="shared" si="34"/>
        <v>100000</v>
      </c>
      <c r="T92" s="53"/>
    </row>
    <row r="93" spans="1:20" s="13" customFormat="1" x14ac:dyDescent="0.25">
      <c r="A93" s="20" t="s">
        <v>119</v>
      </c>
      <c r="B93" s="21" t="s">
        <v>158</v>
      </c>
      <c r="C93" s="22">
        <v>0.25</v>
      </c>
      <c r="D93" s="22">
        <v>14</v>
      </c>
      <c r="E93" s="23">
        <f>7732*C93</f>
        <v>1933</v>
      </c>
      <c r="F93" s="22"/>
      <c r="G93" s="23">
        <f>E93+F93</f>
        <v>1933</v>
      </c>
      <c r="H93" s="23"/>
      <c r="I93" s="23"/>
      <c r="J93" s="23"/>
      <c r="K93" s="23">
        <f t="shared" si="33"/>
        <v>579.9</v>
      </c>
      <c r="L93" s="23">
        <f>20000*C93-G93-K93</f>
        <v>2487.1</v>
      </c>
      <c r="M93" s="23"/>
      <c r="N93" s="23"/>
      <c r="O93" s="23"/>
      <c r="P93" s="23"/>
      <c r="Q93" s="23"/>
      <c r="R93" s="23">
        <f>G93+K93+L93</f>
        <v>5000</v>
      </c>
      <c r="S93" s="25">
        <f t="shared" si="34"/>
        <v>25000</v>
      </c>
      <c r="T93" s="52"/>
    </row>
    <row r="94" spans="1:20" s="13" customFormat="1" x14ac:dyDescent="0.25">
      <c r="A94" s="20" t="s">
        <v>159</v>
      </c>
      <c r="B94" s="21" t="s">
        <v>160</v>
      </c>
      <c r="C94" s="22">
        <v>0.5</v>
      </c>
      <c r="D94" s="22">
        <v>14</v>
      </c>
      <c r="E94" s="23">
        <v>3866</v>
      </c>
      <c r="F94" s="22"/>
      <c r="G94" s="23">
        <f t="shared" si="30"/>
        <v>3866</v>
      </c>
      <c r="H94" s="23"/>
      <c r="I94" s="23"/>
      <c r="J94" s="23"/>
      <c r="K94" s="23">
        <f t="shared" si="33"/>
        <v>1159.8</v>
      </c>
      <c r="L94" s="23">
        <f>20000/2-G94-K94</f>
        <v>4974.2</v>
      </c>
      <c r="M94" s="23"/>
      <c r="N94" s="23"/>
      <c r="O94" s="23"/>
      <c r="P94" s="23"/>
      <c r="Q94" s="23"/>
      <c r="R94" s="23">
        <f t="shared" si="37"/>
        <v>10000</v>
      </c>
      <c r="S94" s="25">
        <f t="shared" si="34"/>
        <v>50000</v>
      </c>
      <c r="T94" s="52"/>
    </row>
    <row r="95" spans="1:20" s="13" customFormat="1" x14ac:dyDescent="0.25">
      <c r="A95" s="20" t="s">
        <v>161</v>
      </c>
      <c r="B95" s="21" t="s">
        <v>162</v>
      </c>
      <c r="C95" s="22">
        <v>0.5</v>
      </c>
      <c r="D95" s="22">
        <v>11</v>
      </c>
      <c r="E95" s="23">
        <v>3147</v>
      </c>
      <c r="F95" s="22"/>
      <c r="G95" s="23">
        <f t="shared" si="30"/>
        <v>3147</v>
      </c>
      <c r="H95" s="23"/>
      <c r="I95" s="23"/>
      <c r="J95" s="23"/>
      <c r="K95" s="23">
        <f t="shared" si="33"/>
        <v>944.09999999999991</v>
      </c>
      <c r="L95" s="23">
        <f>20000/2-G95-K95</f>
        <v>5908.9</v>
      </c>
      <c r="M95" s="23"/>
      <c r="N95" s="23"/>
      <c r="O95" s="23"/>
      <c r="P95" s="23"/>
      <c r="Q95" s="23"/>
      <c r="R95" s="23">
        <f t="shared" si="37"/>
        <v>10000</v>
      </c>
      <c r="S95" s="25">
        <f t="shared" si="34"/>
        <v>50000</v>
      </c>
      <c r="T95" s="52"/>
    </row>
    <row r="96" spans="1:20" s="56" customFormat="1" x14ac:dyDescent="0.25">
      <c r="A96" s="20" t="s">
        <v>163</v>
      </c>
      <c r="B96" s="21" t="s">
        <v>164</v>
      </c>
      <c r="C96" s="22">
        <v>0.5</v>
      </c>
      <c r="D96" s="22">
        <v>14</v>
      </c>
      <c r="E96" s="23">
        <v>3866</v>
      </c>
      <c r="F96" s="22"/>
      <c r="G96" s="23">
        <f t="shared" si="30"/>
        <v>3866</v>
      </c>
      <c r="H96" s="23"/>
      <c r="I96" s="23"/>
      <c r="J96" s="23"/>
      <c r="K96" s="23">
        <f t="shared" si="33"/>
        <v>1159.8</v>
      </c>
      <c r="L96" s="23">
        <f>20000/2-G96-K96</f>
        <v>4974.2</v>
      </c>
      <c r="M96" s="23"/>
      <c r="N96" s="23"/>
      <c r="O96" s="23"/>
      <c r="P96" s="23"/>
      <c r="Q96" s="23"/>
      <c r="R96" s="23">
        <f t="shared" si="37"/>
        <v>10000</v>
      </c>
      <c r="S96" s="25">
        <f t="shared" si="34"/>
        <v>50000</v>
      </c>
    </row>
    <row r="97" spans="1:20" s="56" customFormat="1" x14ac:dyDescent="0.25">
      <c r="A97" s="20" t="s">
        <v>163</v>
      </c>
      <c r="B97" s="21" t="s">
        <v>332</v>
      </c>
      <c r="C97" s="22">
        <v>0.5</v>
      </c>
      <c r="D97" s="22">
        <v>14</v>
      </c>
      <c r="E97" s="23">
        <v>3866</v>
      </c>
      <c r="F97" s="22"/>
      <c r="G97" s="23">
        <f t="shared" si="30"/>
        <v>3866</v>
      </c>
      <c r="H97" s="23"/>
      <c r="I97" s="23"/>
      <c r="J97" s="23"/>
      <c r="K97" s="23">
        <f t="shared" si="33"/>
        <v>1159.8</v>
      </c>
      <c r="L97" s="23">
        <f>20000/2-G97-K97</f>
        <v>4974.2</v>
      </c>
      <c r="M97" s="23"/>
      <c r="N97" s="23"/>
      <c r="O97" s="23"/>
      <c r="P97" s="23"/>
      <c r="Q97" s="23"/>
      <c r="R97" s="23">
        <f t="shared" si="37"/>
        <v>10000</v>
      </c>
      <c r="S97" s="25">
        <f t="shared" si="34"/>
        <v>50000</v>
      </c>
    </row>
    <row r="98" spans="1:20" s="13" customFormat="1" x14ac:dyDescent="0.25">
      <c r="A98" s="20" t="s">
        <v>165</v>
      </c>
      <c r="B98" s="21" t="s">
        <v>166</v>
      </c>
      <c r="C98" s="22">
        <v>1</v>
      </c>
      <c r="D98" s="22">
        <v>14</v>
      </c>
      <c r="E98" s="23">
        <v>7732</v>
      </c>
      <c r="F98" s="22"/>
      <c r="G98" s="23">
        <f t="shared" si="30"/>
        <v>7732</v>
      </c>
      <c r="H98" s="23"/>
      <c r="I98" s="23"/>
      <c r="J98" s="23"/>
      <c r="K98" s="23">
        <f t="shared" si="33"/>
        <v>2319.6</v>
      </c>
      <c r="L98" s="23">
        <f t="shared" ref="L98" si="38">20000-G98-K98</f>
        <v>9948.4</v>
      </c>
      <c r="M98" s="23"/>
      <c r="N98" s="23"/>
      <c r="O98" s="23"/>
      <c r="P98" s="23"/>
      <c r="Q98" s="23"/>
      <c r="R98" s="23">
        <f t="shared" si="37"/>
        <v>20000</v>
      </c>
      <c r="S98" s="25">
        <f t="shared" si="34"/>
        <v>100000</v>
      </c>
      <c r="T98" s="52"/>
    </row>
    <row r="99" spans="1:20" x14ac:dyDescent="0.25">
      <c r="A99" s="20" t="s">
        <v>167</v>
      </c>
      <c r="B99" s="21" t="s">
        <v>112</v>
      </c>
      <c r="C99" s="22">
        <v>0.5</v>
      </c>
      <c r="D99" s="22">
        <v>10</v>
      </c>
      <c r="E99" s="23">
        <v>2907.5</v>
      </c>
      <c r="F99" s="22"/>
      <c r="G99" s="23">
        <f t="shared" si="30"/>
        <v>2907.5</v>
      </c>
      <c r="H99" s="23"/>
      <c r="I99" s="23"/>
      <c r="J99" s="23"/>
      <c r="K99" s="23">
        <f t="shared" si="33"/>
        <v>872.25</v>
      </c>
      <c r="L99" s="23">
        <f>20000/2-G99-K99</f>
        <v>6220.25</v>
      </c>
      <c r="M99" s="23"/>
      <c r="N99" s="23"/>
      <c r="O99" s="23"/>
      <c r="P99" s="23"/>
      <c r="Q99" s="23"/>
      <c r="R99" s="23">
        <f t="shared" si="37"/>
        <v>10000</v>
      </c>
      <c r="S99" s="25">
        <f t="shared" si="34"/>
        <v>50000</v>
      </c>
      <c r="T99" s="53"/>
    </row>
    <row r="100" spans="1:20" s="13" customFormat="1" x14ac:dyDescent="0.25">
      <c r="A100" s="20" t="s">
        <v>168</v>
      </c>
      <c r="B100" s="21" t="s">
        <v>169</v>
      </c>
      <c r="C100" s="22">
        <v>1.5</v>
      </c>
      <c r="D100" s="22">
        <v>14</v>
      </c>
      <c r="E100" s="23">
        <f>7732*C100</f>
        <v>11598</v>
      </c>
      <c r="F100" s="22"/>
      <c r="G100" s="23">
        <f t="shared" si="30"/>
        <v>11598</v>
      </c>
      <c r="H100" s="23"/>
      <c r="I100" s="23"/>
      <c r="J100" s="23"/>
      <c r="K100" s="23">
        <f t="shared" si="33"/>
        <v>3479.4</v>
      </c>
      <c r="L100" s="23">
        <f>20000*C100-G100-K100</f>
        <v>14922.6</v>
      </c>
      <c r="M100" s="23"/>
      <c r="N100" s="23"/>
      <c r="O100" s="23"/>
      <c r="P100" s="23"/>
      <c r="Q100" s="23"/>
      <c r="R100" s="23">
        <f t="shared" si="37"/>
        <v>30000</v>
      </c>
      <c r="S100" s="25">
        <f t="shared" si="34"/>
        <v>150000</v>
      </c>
      <c r="T100" s="52"/>
    </row>
    <row r="101" spans="1:20" x14ac:dyDescent="0.25">
      <c r="A101" s="20" t="s">
        <v>170</v>
      </c>
      <c r="B101" s="21" t="s">
        <v>171</v>
      </c>
      <c r="C101" s="22">
        <v>0.5</v>
      </c>
      <c r="D101" s="22">
        <v>13</v>
      </c>
      <c r="E101" s="23">
        <f>7523*C101</f>
        <v>3761.5</v>
      </c>
      <c r="F101" s="22"/>
      <c r="G101" s="23">
        <f t="shared" si="30"/>
        <v>3761.5</v>
      </c>
      <c r="H101" s="23"/>
      <c r="I101" s="23"/>
      <c r="J101" s="23"/>
      <c r="K101" s="23">
        <f t="shared" si="33"/>
        <v>1128.45</v>
      </c>
      <c r="L101" s="23">
        <f>20000/2-G101-K101</f>
        <v>5110.05</v>
      </c>
      <c r="M101" s="23"/>
      <c r="N101" s="23"/>
      <c r="O101" s="23"/>
      <c r="P101" s="23"/>
      <c r="Q101" s="23"/>
      <c r="R101" s="23">
        <f t="shared" si="37"/>
        <v>10000</v>
      </c>
      <c r="S101" s="25">
        <f t="shared" si="34"/>
        <v>50000</v>
      </c>
      <c r="T101" s="53"/>
    </row>
    <row r="102" spans="1:20" x14ac:dyDescent="0.25">
      <c r="A102" s="20" t="s">
        <v>172</v>
      </c>
      <c r="B102" s="21" t="s">
        <v>173</v>
      </c>
      <c r="C102" s="22">
        <v>0.5</v>
      </c>
      <c r="D102" s="22">
        <v>14</v>
      </c>
      <c r="E102" s="23">
        <v>3866</v>
      </c>
      <c r="F102" s="22"/>
      <c r="G102" s="23">
        <f t="shared" si="30"/>
        <v>3866</v>
      </c>
      <c r="H102" s="23"/>
      <c r="I102" s="23"/>
      <c r="J102" s="23"/>
      <c r="K102" s="23">
        <f t="shared" si="33"/>
        <v>1159.8</v>
      </c>
      <c r="L102" s="23">
        <f>20000/2-G102-K102</f>
        <v>4974.2</v>
      </c>
      <c r="M102" s="23"/>
      <c r="N102" s="23"/>
      <c r="O102" s="23"/>
      <c r="P102" s="23"/>
      <c r="Q102" s="23"/>
      <c r="R102" s="23">
        <f t="shared" si="37"/>
        <v>10000</v>
      </c>
      <c r="S102" s="25">
        <f t="shared" si="34"/>
        <v>50000</v>
      </c>
      <c r="T102" s="53"/>
    </row>
    <row r="103" spans="1:20" x14ac:dyDescent="0.25">
      <c r="A103" s="20" t="s">
        <v>174</v>
      </c>
      <c r="B103" s="21" t="s">
        <v>128</v>
      </c>
      <c r="C103" s="22">
        <v>0.5</v>
      </c>
      <c r="D103" s="22">
        <v>9</v>
      </c>
      <c r="E103" s="23">
        <f>5527*C103</f>
        <v>2763.5</v>
      </c>
      <c r="F103" s="22"/>
      <c r="G103" s="23">
        <f t="shared" si="30"/>
        <v>2763.5</v>
      </c>
      <c r="H103" s="23"/>
      <c r="I103" s="23"/>
      <c r="J103" s="23"/>
      <c r="K103" s="23">
        <f t="shared" si="33"/>
        <v>829.05</v>
      </c>
      <c r="L103" s="23">
        <f>13500*C103-G103-K103</f>
        <v>3157.45</v>
      </c>
      <c r="M103" s="23"/>
      <c r="N103" s="23"/>
      <c r="O103" s="23"/>
      <c r="P103" s="23"/>
      <c r="Q103" s="23"/>
      <c r="R103" s="23">
        <f>G103+K103+L103</f>
        <v>6750</v>
      </c>
      <c r="S103" s="25">
        <f t="shared" si="34"/>
        <v>33750</v>
      </c>
      <c r="T103" s="53"/>
    </row>
    <row r="104" spans="1:20" x14ac:dyDescent="0.25">
      <c r="A104" s="20" t="s">
        <v>175</v>
      </c>
      <c r="B104" s="21" t="s">
        <v>176</v>
      </c>
      <c r="C104" s="22">
        <v>1</v>
      </c>
      <c r="D104" s="22">
        <v>9</v>
      </c>
      <c r="E104" s="23">
        <v>5527</v>
      </c>
      <c r="F104" s="22">
        <f>E104*0.15</f>
        <v>829.05</v>
      </c>
      <c r="G104" s="23">
        <f t="shared" si="30"/>
        <v>6356.05</v>
      </c>
      <c r="H104" s="23"/>
      <c r="I104" s="23"/>
      <c r="J104" s="23"/>
      <c r="K104" s="23">
        <f t="shared" si="33"/>
        <v>1906.8150000000001</v>
      </c>
      <c r="L104" s="23">
        <f>13500-G104-K104</f>
        <v>5237.1350000000002</v>
      </c>
      <c r="M104" s="23"/>
      <c r="N104" s="23"/>
      <c r="O104" s="23"/>
      <c r="P104" s="23"/>
      <c r="Q104" s="23"/>
      <c r="R104" s="23">
        <f>G104+K104+L104</f>
        <v>13500</v>
      </c>
      <c r="S104" s="25">
        <f t="shared" si="34"/>
        <v>67500</v>
      </c>
      <c r="T104" s="53"/>
    </row>
    <row r="105" spans="1:20" x14ac:dyDescent="0.25">
      <c r="A105" s="20" t="s">
        <v>177</v>
      </c>
      <c r="B105" s="21" t="s">
        <v>178</v>
      </c>
      <c r="C105" s="22">
        <v>1.5</v>
      </c>
      <c r="D105" s="22">
        <v>7</v>
      </c>
      <c r="E105" s="23">
        <v>7380</v>
      </c>
      <c r="F105" s="22"/>
      <c r="G105" s="23">
        <f t="shared" si="30"/>
        <v>7380</v>
      </c>
      <c r="H105" s="23"/>
      <c r="I105" s="23">
        <f>G105*0.1</f>
        <v>738</v>
      </c>
      <c r="J105" s="23"/>
      <c r="K105" s="23">
        <f t="shared" si="33"/>
        <v>2214</v>
      </c>
      <c r="L105" s="23">
        <f>13500*1.5-G105-I105-K105</f>
        <v>9918</v>
      </c>
      <c r="M105" s="23"/>
      <c r="N105" s="23"/>
      <c r="O105" s="23"/>
      <c r="P105" s="23"/>
      <c r="Q105" s="23"/>
      <c r="R105" s="23">
        <f>G105+I105+K105+L105</f>
        <v>20250</v>
      </c>
      <c r="S105" s="25">
        <f t="shared" si="34"/>
        <v>101250</v>
      </c>
      <c r="T105" s="53"/>
    </row>
    <row r="106" spans="1:20" x14ac:dyDescent="0.25">
      <c r="A106" s="20" t="s">
        <v>179</v>
      </c>
      <c r="B106" s="21" t="s">
        <v>91</v>
      </c>
      <c r="C106" s="22">
        <v>6</v>
      </c>
      <c r="D106" s="22">
        <v>9</v>
      </c>
      <c r="E106" s="23">
        <f>5527*C106</f>
        <v>33162</v>
      </c>
      <c r="F106" s="22"/>
      <c r="G106" s="23">
        <f t="shared" si="30"/>
        <v>33162</v>
      </c>
      <c r="H106" s="23"/>
      <c r="I106" s="23"/>
      <c r="J106" s="23"/>
      <c r="K106" s="23">
        <f t="shared" si="33"/>
        <v>9948.6</v>
      </c>
      <c r="L106" s="23">
        <f>13500*C106-G106-K106</f>
        <v>37889.4</v>
      </c>
      <c r="M106" s="23"/>
      <c r="N106" s="23"/>
      <c r="O106" s="23"/>
      <c r="P106" s="23"/>
      <c r="Q106" s="23"/>
      <c r="R106" s="23">
        <f t="shared" ref="R106" si="39">G106+K106+L106</f>
        <v>81000</v>
      </c>
      <c r="S106" s="25">
        <f t="shared" si="34"/>
        <v>405000</v>
      </c>
      <c r="T106" s="53"/>
    </row>
    <row r="107" spans="1:20" x14ac:dyDescent="0.25">
      <c r="A107" s="20" t="s">
        <v>181</v>
      </c>
      <c r="B107" s="21" t="s">
        <v>180</v>
      </c>
      <c r="C107" s="22">
        <v>1</v>
      </c>
      <c r="D107" s="22">
        <v>9</v>
      </c>
      <c r="E107" s="23">
        <f>5527*C107</f>
        <v>5527</v>
      </c>
      <c r="F107" s="22"/>
      <c r="G107" s="23">
        <f t="shared" si="30"/>
        <v>5527</v>
      </c>
      <c r="H107" s="23"/>
      <c r="I107" s="23">
        <f>G107*0.1</f>
        <v>552.70000000000005</v>
      </c>
      <c r="J107" s="23"/>
      <c r="K107" s="23">
        <f t="shared" si="33"/>
        <v>1658.1</v>
      </c>
      <c r="L107" s="23">
        <f>13500-G107-K107-I107</f>
        <v>5762.2</v>
      </c>
      <c r="M107" s="23"/>
      <c r="N107" s="23"/>
      <c r="O107" s="23"/>
      <c r="P107" s="23"/>
      <c r="Q107" s="23"/>
      <c r="R107" s="23">
        <f>G107+K107+L107+I107</f>
        <v>13500</v>
      </c>
      <c r="S107" s="25">
        <f t="shared" si="34"/>
        <v>67500</v>
      </c>
      <c r="T107" s="53"/>
    </row>
    <row r="108" spans="1:20" x14ac:dyDescent="0.25">
      <c r="A108" s="20" t="s">
        <v>183</v>
      </c>
      <c r="B108" s="21" t="s">
        <v>182</v>
      </c>
      <c r="C108" s="22">
        <v>2</v>
      </c>
      <c r="D108" s="22">
        <v>9</v>
      </c>
      <c r="E108" s="23">
        <f>5527*C108</f>
        <v>11054</v>
      </c>
      <c r="F108" s="22">
        <f>E108*0.15</f>
        <v>1658.1</v>
      </c>
      <c r="G108" s="23">
        <f t="shared" si="30"/>
        <v>12712.1</v>
      </c>
      <c r="H108" s="23"/>
      <c r="I108" s="23"/>
      <c r="J108" s="23"/>
      <c r="K108" s="23">
        <f t="shared" si="33"/>
        <v>3813.63</v>
      </c>
      <c r="L108" s="23">
        <f>13500*C108-G108-K108</f>
        <v>10474.27</v>
      </c>
      <c r="M108" s="23"/>
      <c r="N108" s="23"/>
      <c r="O108" s="23"/>
      <c r="P108" s="23"/>
      <c r="Q108" s="23"/>
      <c r="R108" s="23">
        <f t="shared" ref="R108" si="40">G108+K108+L108</f>
        <v>27000</v>
      </c>
      <c r="S108" s="25">
        <f t="shared" si="34"/>
        <v>135000</v>
      </c>
      <c r="T108" s="53"/>
    </row>
    <row r="109" spans="1:20" s="38" customFormat="1" x14ac:dyDescent="0.25">
      <c r="A109" s="20" t="s">
        <v>185</v>
      </c>
      <c r="B109" s="21" t="s">
        <v>184</v>
      </c>
      <c r="C109" s="22">
        <v>0.5</v>
      </c>
      <c r="D109" s="22">
        <v>4</v>
      </c>
      <c r="E109" s="23">
        <v>2029</v>
      </c>
      <c r="F109" s="22"/>
      <c r="G109" s="23">
        <f>E109+F109</f>
        <v>2029</v>
      </c>
      <c r="H109" s="23"/>
      <c r="I109" s="23"/>
      <c r="J109" s="23"/>
      <c r="K109" s="23"/>
      <c r="L109" s="23"/>
      <c r="M109" s="23"/>
      <c r="N109" s="23"/>
      <c r="O109" s="23"/>
      <c r="P109" s="23">
        <f>8000/2-G109</f>
        <v>1971</v>
      </c>
      <c r="Q109" s="23"/>
      <c r="R109" s="23">
        <f>G109+I109+P109</f>
        <v>4000</v>
      </c>
      <c r="S109" s="25">
        <f t="shared" si="34"/>
        <v>20000</v>
      </c>
      <c r="T109" s="46"/>
    </row>
    <row r="110" spans="1:20" x14ac:dyDescent="0.25">
      <c r="A110" s="20" t="s">
        <v>188</v>
      </c>
      <c r="B110" s="21" t="s">
        <v>134</v>
      </c>
      <c r="C110" s="22">
        <v>5</v>
      </c>
      <c r="D110" s="22">
        <v>3</v>
      </c>
      <c r="E110" s="23">
        <f>3770*C110</f>
        <v>18850</v>
      </c>
      <c r="F110" s="22"/>
      <c r="G110" s="23">
        <f t="shared" si="30"/>
        <v>18850</v>
      </c>
      <c r="H110" s="23"/>
      <c r="I110" s="23">
        <f>G110*0.1</f>
        <v>1885</v>
      </c>
      <c r="J110" s="23"/>
      <c r="K110" s="23"/>
      <c r="L110" s="23"/>
      <c r="M110" s="23"/>
      <c r="N110" s="23"/>
      <c r="O110" s="23"/>
      <c r="P110" s="23">
        <f>8000*C110-G110</f>
        <v>21150</v>
      </c>
      <c r="Q110" s="23"/>
      <c r="R110" s="23">
        <f>G110+I110+P110</f>
        <v>41885</v>
      </c>
      <c r="S110" s="25">
        <f t="shared" si="34"/>
        <v>209425</v>
      </c>
      <c r="T110" s="53"/>
    </row>
    <row r="111" spans="1:20" s="27" customFormat="1" ht="23.4" customHeight="1" thickBot="1" x14ac:dyDescent="0.3">
      <c r="A111" s="112"/>
      <c r="B111" s="113" t="s">
        <v>59</v>
      </c>
      <c r="C111" s="114">
        <f>SUM(C83:C110)</f>
        <v>33.75</v>
      </c>
      <c r="D111" s="114"/>
      <c r="E111" s="115">
        <f>SUM(E83:E110)</f>
        <v>200417.25</v>
      </c>
      <c r="F111" s="115">
        <f>SUM(F83:F110)</f>
        <v>8277.9500000000007</v>
      </c>
      <c r="G111" s="115">
        <f>SUM(G83:G110)</f>
        <v>208695.2</v>
      </c>
      <c r="H111" s="115"/>
      <c r="I111" s="115">
        <f>SUM(I83:I110)</f>
        <v>3175.7</v>
      </c>
      <c r="J111" s="115"/>
      <c r="K111" s="115">
        <f>SUM(K83:K110)</f>
        <v>56344.859999999993</v>
      </c>
      <c r="L111" s="115">
        <f>SUM(L83:L110)</f>
        <v>251548.24000000002</v>
      </c>
      <c r="M111" s="115"/>
      <c r="N111" s="115"/>
      <c r="O111" s="115"/>
      <c r="P111" s="115">
        <f>SUM(P109:P110)</f>
        <v>23121</v>
      </c>
      <c r="Q111" s="115"/>
      <c r="R111" s="115">
        <f>SUM(R83:R110)</f>
        <v>542885</v>
      </c>
      <c r="S111" s="116">
        <f>SUM(S83:S110)</f>
        <v>2714425</v>
      </c>
      <c r="T111" s="54"/>
    </row>
    <row r="112" spans="1:20" ht="16.2" customHeight="1" x14ac:dyDescent="0.25">
      <c r="A112" s="15"/>
      <c r="B112" s="86" t="s">
        <v>187</v>
      </c>
      <c r="C112" s="85"/>
      <c r="D112" s="85"/>
      <c r="E112" s="94"/>
      <c r="F112" s="85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110"/>
      <c r="T112" s="53"/>
    </row>
    <row r="113" spans="1:20" x14ac:dyDescent="0.25">
      <c r="A113" s="20" t="s">
        <v>190</v>
      </c>
      <c r="B113" s="21" t="s">
        <v>189</v>
      </c>
      <c r="C113" s="22">
        <v>0.75</v>
      </c>
      <c r="D113" s="22">
        <v>10</v>
      </c>
      <c r="E113" s="23">
        <f>5815*C113</f>
        <v>4361.25</v>
      </c>
      <c r="F113" s="22">
        <f>E113*0.15</f>
        <v>654.1875</v>
      </c>
      <c r="G113" s="23">
        <f t="shared" ref="G113:G117" si="41">E113+F113</f>
        <v>5015.4375</v>
      </c>
      <c r="H113" s="23"/>
      <c r="I113" s="23">
        <f>G113*0.1</f>
        <v>501.54375000000005</v>
      </c>
      <c r="J113" s="23"/>
      <c r="K113" s="23">
        <f>G113*0.3</f>
        <v>1504.6312499999999</v>
      </c>
      <c r="L113" s="23">
        <f>20000*C113-G113-I113-K113</f>
        <v>7978.3874999999989</v>
      </c>
      <c r="M113" s="23"/>
      <c r="N113" s="23"/>
      <c r="O113" s="23"/>
      <c r="P113" s="23"/>
      <c r="Q113" s="23"/>
      <c r="R113" s="23">
        <f>G113+I113+K113+L113</f>
        <v>14999.999999999998</v>
      </c>
      <c r="S113" s="25">
        <f>R113*5</f>
        <v>74999.999999999985</v>
      </c>
      <c r="T113" s="53"/>
    </row>
    <row r="114" spans="1:20" x14ac:dyDescent="0.25">
      <c r="A114" s="20" t="s">
        <v>192</v>
      </c>
      <c r="B114" s="21" t="s">
        <v>191</v>
      </c>
      <c r="C114" s="22">
        <v>1</v>
      </c>
      <c r="D114" s="22">
        <v>9</v>
      </c>
      <c r="E114" s="23">
        <v>5527</v>
      </c>
      <c r="F114" s="22">
        <f>E114*0.15</f>
        <v>829.05</v>
      </c>
      <c r="G114" s="23">
        <f t="shared" si="41"/>
        <v>6356.05</v>
      </c>
      <c r="H114" s="23"/>
      <c r="I114" s="23"/>
      <c r="J114" s="23"/>
      <c r="K114" s="23">
        <f t="shared" ref="K114:K115" si="42">G114*0.3</f>
        <v>1906.8150000000001</v>
      </c>
      <c r="L114" s="23">
        <f>20000-G114-K114</f>
        <v>11737.135</v>
      </c>
      <c r="M114" s="23"/>
      <c r="N114" s="23"/>
      <c r="O114" s="23"/>
      <c r="P114" s="23"/>
      <c r="Q114" s="23"/>
      <c r="R114" s="23">
        <f>G114+I114+K114+L114</f>
        <v>20000</v>
      </c>
      <c r="S114" s="25">
        <f t="shared" ref="S114:S116" si="43">R114*5</f>
        <v>100000</v>
      </c>
      <c r="T114" s="53"/>
    </row>
    <row r="115" spans="1:20" x14ac:dyDescent="0.25">
      <c r="A115" s="20" t="s">
        <v>194</v>
      </c>
      <c r="B115" s="21" t="s">
        <v>193</v>
      </c>
      <c r="C115" s="22">
        <v>3</v>
      </c>
      <c r="D115" s="22">
        <v>10</v>
      </c>
      <c r="E115" s="23">
        <f>5815*C115</f>
        <v>17445</v>
      </c>
      <c r="F115" s="22">
        <f>E115*0.15</f>
        <v>2616.75</v>
      </c>
      <c r="G115" s="23">
        <f t="shared" si="41"/>
        <v>20061.75</v>
      </c>
      <c r="H115" s="23"/>
      <c r="I115" s="23">
        <f>G115*0.1</f>
        <v>2006.1750000000002</v>
      </c>
      <c r="J115" s="23"/>
      <c r="K115" s="23">
        <f t="shared" si="42"/>
        <v>6018.5249999999996</v>
      </c>
      <c r="L115" s="23">
        <f>13500*C115-G115-I115-K115</f>
        <v>12413.550000000001</v>
      </c>
      <c r="M115" s="23"/>
      <c r="N115" s="23"/>
      <c r="O115" s="23"/>
      <c r="P115" s="23"/>
      <c r="Q115" s="23"/>
      <c r="R115" s="23">
        <f>G115+I115+K115+L115</f>
        <v>40500</v>
      </c>
      <c r="S115" s="25">
        <f t="shared" si="43"/>
        <v>202500</v>
      </c>
      <c r="T115" s="53"/>
    </row>
    <row r="116" spans="1:20" s="38" customFormat="1" x14ac:dyDescent="0.25">
      <c r="A116" s="20" t="s">
        <v>197</v>
      </c>
      <c r="B116" s="21" t="s">
        <v>186</v>
      </c>
      <c r="C116" s="22">
        <v>1</v>
      </c>
      <c r="D116" s="22">
        <v>3</v>
      </c>
      <c r="E116" s="23">
        <f>3770*C116</f>
        <v>3770</v>
      </c>
      <c r="F116" s="22">
        <f>E116*0.15</f>
        <v>565.5</v>
      </c>
      <c r="G116" s="23">
        <f t="shared" si="41"/>
        <v>4335.5</v>
      </c>
      <c r="H116" s="23"/>
      <c r="I116" s="23">
        <f>G116*0.1</f>
        <v>433.55</v>
      </c>
      <c r="J116" s="23"/>
      <c r="K116" s="23" t="s">
        <v>195</v>
      </c>
      <c r="L116" s="23"/>
      <c r="M116" s="23"/>
      <c r="N116" s="23"/>
      <c r="O116" s="23"/>
      <c r="P116" s="23">
        <f>8000*C116-E116</f>
        <v>4230</v>
      </c>
      <c r="Q116" s="23"/>
      <c r="R116" s="23">
        <f>G116+I116+P116</f>
        <v>8999.0499999999993</v>
      </c>
      <c r="S116" s="25">
        <f t="shared" si="43"/>
        <v>44995.25</v>
      </c>
      <c r="T116" s="46"/>
    </row>
    <row r="117" spans="1:20" s="27" customFormat="1" ht="25.2" customHeight="1" x14ac:dyDescent="0.25">
      <c r="A117" s="112"/>
      <c r="B117" s="113" t="s">
        <v>59</v>
      </c>
      <c r="C117" s="114">
        <f>C113+C114+C115+C116</f>
        <v>5.75</v>
      </c>
      <c r="D117" s="114"/>
      <c r="E117" s="115">
        <f>SUM(E113:E116)</f>
        <v>31103.25</v>
      </c>
      <c r="F117" s="114">
        <f>SUM(F113:F116)</f>
        <v>4665.4875000000002</v>
      </c>
      <c r="G117" s="115">
        <f t="shared" si="41"/>
        <v>35768.737500000003</v>
      </c>
      <c r="H117" s="115"/>
      <c r="I117" s="115">
        <f>SUM(I113:I116)</f>
        <v>2941.2687500000002</v>
      </c>
      <c r="J117" s="115"/>
      <c r="K117" s="115">
        <f>SUM(K113:K116)</f>
        <v>9429.9712499999987</v>
      </c>
      <c r="L117" s="115">
        <f>SUM(L113:L116)</f>
        <v>32129.072500000002</v>
      </c>
      <c r="M117" s="115"/>
      <c r="N117" s="115"/>
      <c r="O117" s="115"/>
      <c r="P117" s="115">
        <f>SUM(P113:P116)</f>
        <v>4230</v>
      </c>
      <c r="Q117" s="115"/>
      <c r="R117" s="115">
        <f>SUM(R113:R116)</f>
        <v>84499.05</v>
      </c>
      <c r="S117" s="116">
        <f>SUM(S113:S116)</f>
        <v>422495.25</v>
      </c>
      <c r="T117" s="54"/>
    </row>
    <row r="118" spans="1:20" s="27" customFormat="1" ht="21.6" customHeight="1" x14ac:dyDescent="0.25">
      <c r="A118" s="125"/>
      <c r="B118" s="126" t="s">
        <v>326</v>
      </c>
      <c r="C118" s="126"/>
      <c r="D118" s="126"/>
      <c r="E118" s="127"/>
      <c r="F118" s="126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127"/>
      <c r="T118" s="54"/>
    </row>
    <row r="119" spans="1:20" s="27" customFormat="1" ht="15" customHeight="1" x14ac:dyDescent="0.25">
      <c r="A119" s="128" t="s">
        <v>198</v>
      </c>
      <c r="B119" s="129" t="s">
        <v>323</v>
      </c>
      <c r="C119" s="130">
        <v>0.25</v>
      </c>
      <c r="D119" s="130">
        <v>10</v>
      </c>
      <c r="E119" s="131">
        <f>5815*C119</f>
        <v>1453.75</v>
      </c>
      <c r="F119" s="130">
        <f>E119*0.15</f>
        <v>218.0625</v>
      </c>
      <c r="G119" s="131">
        <f>E119+F119</f>
        <v>1671.8125</v>
      </c>
      <c r="H119" s="131"/>
      <c r="I119" s="131">
        <f>G119*0.1</f>
        <v>167.18125000000001</v>
      </c>
      <c r="J119" s="131"/>
      <c r="K119" s="131">
        <f>G119*0.3</f>
        <v>501.54374999999999</v>
      </c>
      <c r="L119" s="131">
        <f>20000*C119-G119-I119-K119</f>
        <v>2659.4625000000001</v>
      </c>
      <c r="M119" s="131"/>
      <c r="N119" s="131"/>
      <c r="O119" s="131"/>
      <c r="P119" s="131"/>
      <c r="Q119" s="131"/>
      <c r="R119" s="131">
        <f>L119+K119+I119+G119</f>
        <v>5000</v>
      </c>
      <c r="S119" s="131">
        <f>R119*5</f>
        <v>25000</v>
      </c>
      <c r="T119" s="54"/>
    </row>
    <row r="120" spans="1:20" s="27" customFormat="1" ht="13.2" customHeight="1" x14ac:dyDescent="0.25">
      <c r="A120" s="128" t="s">
        <v>199</v>
      </c>
      <c r="B120" s="129" t="s">
        <v>324</v>
      </c>
      <c r="C120" s="130">
        <v>0.25</v>
      </c>
      <c r="D120" s="130">
        <v>10</v>
      </c>
      <c r="E120" s="131">
        <f>5815*C120</f>
        <v>1453.75</v>
      </c>
      <c r="F120" s="130">
        <f>E120*0.15</f>
        <v>218.0625</v>
      </c>
      <c r="G120" s="131">
        <f>E120+F120</f>
        <v>1671.8125</v>
      </c>
      <c r="H120" s="131"/>
      <c r="I120" s="131">
        <f>G120*0.1</f>
        <v>167.18125000000001</v>
      </c>
      <c r="J120" s="131"/>
      <c r="K120" s="131">
        <f>G120*0.3</f>
        <v>501.54374999999999</v>
      </c>
      <c r="L120" s="131">
        <f>20000*C120-G120-I120-K120</f>
        <v>2659.4625000000001</v>
      </c>
      <c r="M120" s="131"/>
      <c r="N120" s="131"/>
      <c r="O120" s="131"/>
      <c r="P120" s="131"/>
      <c r="Q120" s="131"/>
      <c r="R120" s="131">
        <f t="shared" ref="R120" si="44">L120+K120+I120+G120</f>
        <v>5000</v>
      </c>
      <c r="S120" s="131">
        <f>R120*5</f>
        <v>25000</v>
      </c>
      <c r="T120" s="54"/>
    </row>
    <row r="121" spans="1:20" s="27" customFormat="1" ht="21.6" customHeight="1" x14ac:dyDescent="0.25">
      <c r="A121" s="128"/>
      <c r="B121" s="132" t="s">
        <v>59</v>
      </c>
      <c r="C121" s="126">
        <v>0.5</v>
      </c>
      <c r="D121" s="126"/>
      <c r="E121" s="127">
        <f>SUM(E119:E120)</f>
        <v>2907.5</v>
      </c>
      <c r="F121" s="126">
        <f>SUM(F119:F120)</f>
        <v>436.125</v>
      </c>
      <c r="G121" s="127">
        <f>SUM(G119:G120)</f>
        <v>3343.625</v>
      </c>
      <c r="H121" s="127"/>
      <c r="I121" s="127">
        <f>SUM(I119:I120)</f>
        <v>334.36250000000001</v>
      </c>
      <c r="J121" s="127"/>
      <c r="K121" s="127">
        <f>SUM(K119:K120)</f>
        <v>1003.0875</v>
      </c>
      <c r="L121" s="127">
        <f>SUM(L119:L120)</f>
        <v>5318.9250000000002</v>
      </c>
      <c r="M121" s="127"/>
      <c r="N121" s="127"/>
      <c r="O121" s="127"/>
      <c r="P121" s="127"/>
      <c r="Q121" s="127"/>
      <c r="R121" s="127">
        <f>SUM(R119:R120)</f>
        <v>10000</v>
      </c>
      <c r="S121" s="127">
        <f>SUM(S119:S120)</f>
        <v>50000</v>
      </c>
      <c r="T121" s="54"/>
    </row>
    <row r="122" spans="1:20" ht="23.4" customHeight="1" x14ac:dyDescent="0.25">
      <c r="A122" s="133"/>
      <c r="B122" s="29" t="s">
        <v>327</v>
      </c>
      <c r="C122" s="29"/>
      <c r="D122" s="29"/>
      <c r="E122" s="30"/>
      <c r="F122" s="29"/>
      <c r="G122" s="23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53"/>
    </row>
    <row r="123" spans="1:20" ht="14.4" customHeight="1" x14ac:dyDescent="0.25">
      <c r="A123" s="20" t="s">
        <v>198</v>
      </c>
      <c r="B123" s="21" t="s">
        <v>110</v>
      </c>
      <c r="C123" s="22">
        <v>0.25</v>
      </c>
      <c r="D123" s="22">
        <v>10</v>
      </c>
      <c r="E123" s="23">
        <f>5815*C123</f>
        <v>1453.75</v>
      </c>
      <c r="F123" s="22">
        <f t="shared" ref="F123:F126" si="45">E123*0.15</f>
        <v>218.0625</v>
      </c>
      <c r="G123" s="23">
        <f t="shared" si="20"/>
        <v>1671.8125</v>
      </c>
      <c r="H123" s="23"/>
      <c r="I123" s="23"/>
      <c r="J123" s="23"/>
      <c r="K123" s="23">
        <f>G123*0.3</f>
        <v>501.54374999999999</v>
      </c>
      <c r="L123" s="23">
        <f>20000*C123-G123-K123</f>
        <v>2826.6437500000002</v>
      </c>
      <c r="M123" s="23"/>
      <c r="N123" s="23"/>
      <c r="O123" s="23"/>
      <c r="P123" s="23"/>
      <c r="Q123" s="23"/>
      <c r="R123" s="23">
        <f t="shared" ref="R123:R124" si="46">G123+K123+L123</f>
        <v>5000</v>
      </c>
      <c r="S123" s="25">
        <f>R123*5</f>
        <v>25000</v>
      </c>
      <c r="T123" s="53"/>
    </row>
    <row r="124" spans="1:20" x14ac:dyDescent="0.25">
      <c r="A124" s="20" t="s">
        <v>199</v>
      </c>
      <c r="B124" s="21" t="s">
        <v>104</v>
      </c>
      <c r="C124" s="22">
        <v>0.25</v>
      </c>
      <c r="D124" s="22">
        <v>10</v>
      </c>
      <c r="E124" s="23">
        <f>5815*C124</f>
        <v>1453.75</v>
      </c>
      <c r="F124" s="22">
        <f t="shared" si="45"/>
        <v>218.0625</v>
      </c>
      <c r="G124" s="23">
        <f t="shared" si="20"/>
        <v>1671.8125</v>
      </c>
      <c r="H124" s="23"/>
      <c r="I124" s="23"/>
      <c r="J124" s="23"/>
      <c r="K124" s="23">
        <f t="shared" ref="K124:K125" si="47">G124*0.3</f>
        <v>501.54374999999999</v>
      </c>
      <c r="L124" s="23">
        <f>20000*C124-G124-K124</f>
        <v>2826.6437500000002</v>
      </c>
      <c r="M124" s="23"/>
      <c r="N124" s="23"/>
      <c r="O124" s="23"/>
      <c r="P124" s="23"/>
      <c r="Q124" s="23"/>
      <c r="R124" s="23">
        <f t="shared" si="46"/>
        <v>5000</v>
      </c>
      <c r="S124" s="25">
        <f t="shared" ref="S124:S126" si="48">R124*5</f>
        <v>25000</v>
      </c>
      <c r="T124" s="53"/>
    </row>
    <row r="125" spans="1:20" x14ac:dyDescent="0.25">
      <c r="A125" s="20" t="s">
        <v>200</v>
      </c>
      <c r="B125" s="21" t="s">
        <v>130</v>
      </c>
      <c r="C125" s="22">
        <v>4</v>
      </c>
      <c r="D125" s="22">
        <v>9</v>
      </c>
      <c r="E125" s="23">
        <f>5527*C125</f>
        <v>22108</v>
      </c>
      <c r="F125" s="22">
        <f t="shared" si="45"/>
        <v>3316.2</v>
      </c>
      <c r="G125" s="23">
        <f t="shared" si="20"/>
        <v>25424.2</v>
      </c>
      <c r="H125" s="23"/>
      <c r="I125" s="23">
        <f t="shared" ref="I125:I126" si="49">G125*0.1</f>
        <v>2542.42</v>
      </c>
      <c r="J125" s="23"/>
      <c r="K125" s="23">
        <f t="shared" si="47"/>
        <v>7627.26</v>
      </c>
      <c r="L125" s="23">
        <f>13500*C125-G125-K125-I125-N125</f>
        <v>15816.520000000002</v>
      </c>
      <c r="M125" s="23"/>
      <c r="N125" s="23">
        <f>647.4*C125</f>
        <v>2589.6</v>
      </c>
      <c r="O125" s="23"/>
      <c r="P125" s="23"/>
      <c r="Q125" s="23"/>
      <c r="R125" s="23">
        <f>G125+K125+L125+I125+N125</f>
        <v>54000</v>
      </c>
      <c r="S125" s="25">
        <f t="shared" si="48"/>
        <v>270000</v>
      </c>
      <c r="T125" s="53"/>
    </row>
    <row r="126" spans="1:20" s="13" customFormat="1" x14ac:dyDescent="0.2">
      <c r="A126" s="28" t="s">
        <v>202</v>
      </c>
      <c r="B126" s="21" t="s">
        <v>134</v>
      </c>
      <c r="C126" s="22">
        <v>2.5</v>
      </c>
      <c r="D126" s="22">
        <v>4</v>
      </c>
      <c r="E126" s="23">
        <f>4058*C126</f>
        <v>10145</v>
      </c>
      <c r="F126" s="22">
        <f t="shared" si="45"/>
        <v>1521.75</v>
      </c>
      <c r="G126" s="23">
        <f t="shared" si="20"/>
        <v>11666.75</v>
      </c>
      <c r="H126" s="23"/>
      <c r="I126" s="23">
        <f t="shared" si="49"/>
        <v>1166.675</v>
      </c>
      <c r="J126" s="23"/>
      <c r="K126" s="23"/>
      <c r="L126" s="23"/>
      <c r="M126" s="23"/>
      <c r="N126" s="23">
        <f>475.33*C126</f>
        <v>1188.325</v>
      </c>
      <c r="O126" s="23"/>
      <c r="P126" s="23">
        <f>8000*C126-E126</f>
        <v>9855</v>
      </c>
      <c r="Q126" s="23"/>
      <c r="R126" s="23">
        <f>G126+I126+P126+N126</f>
        <v>23876.75</v>
      </c>
      <c r="S126" s="25">
        <f t="shared" si="48"/>
        <v>119383.75</v>
      </c>
      <c r="T126" s="52"/>
    </row>
    <row r="127" spans="1:20" s="27" customFormat="1" ht="21.6" customHeight="1" thickBot="1" x14ac:dyDescent="0.3">
      <c r="A127" s="64"/>
      <c r="B127" s="117" t="s">
        <v>59</v>
      </c>
      <c r="C127" s="34">
        <f>SUM(C123:C126)</f>
        <v>7</v>
      </c>
      <c r="D127" s="34"/>
      <c r="E127" s="35">
        <f>SUM(E123:E126)</f>
        <v>35160.5</v>
      </c>
      <c r="F127" s="34">
        <f>SUM(F123:F126)</f>
        <v>5274.0749999999998</v>
      </c>
      <c r="G127" s="35">
        <f>SUM(G123:G126)</f>
        <v>40434.574999999997</v>
      </c>
      <c r="H127" s="35"/>
      <c r="I127" s="35">
        <f>SUM(I123:I126)</f>
        <v>3709.0950000000003</v>
      </c>
      <c r="J127" s="35"/>
      <c r="K127" s="35">
        <f>SUM(K123:K126)</f>
        <v>8630.3474999999999</v>
      </c>
      <c r="L127" s="35">
        <f>SUM(L123:L126)</f>
        <v>21469.807500000003</v>
      </c>
      <c r="M127" s="35"/>
      <c r="N127" s="35">
        <f>SUM(N123:N126)</f>
        <v>3777.9250000000002</v>
      </c>
      <c r="O127" s="35"/>
      <c r="P127" s="35">
        <f>SUM(P123:P126)</f>
        <v>9855</v>
      </c>
      <c r="Q127" s="35"/>
      <c r="R127" s="35">
        <f>SUM(R123:R126)</f>
        <v>87876.75</v>
      </c>
      <c r="S127" s="36">
        <f>SUM(S123:S126)</f>
        <v>439383.75</v>
      </c>
      <c r="T127" s="54"/>
    </row>
    <row r="128" spans="1:20" s="56" customFormat="1" ht="27" customHeight="1" x14ac:dyDescent="0.25">
      <c r="A128" s="15"/>
      <c r="B128" s="86" t="s">
        <v>201</v>
      </c>
      <c r="C128" s="85"/>
      <c r="D128" s="85"/>
      <c r="E128" s="94"/>
      <c r="F128" s="85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110"/>
      <c r="T128" s="58"/>
    </row>
    <row r="129" spans="1:20" s="13" customFormat="1" x14ac:dyDescent="0.25">
      <c r="A129" s="20" t="s">
        <v>203</v>
      </c>
      <c r="B129" s="59" t="s">
        <v>100</v>
      </c>
      <c r="C129" s="22">
        <v>1</v>
      </c>
      <c r="D129" s="22">
        <v>13</v>
      </c>
      <c r="E129" s="23">
        <v>7253</v>
      </c>
      <c r="F129" s="22">
        <f>E129*0.2</f>
        <v>1450.6000000000001</v>
      </c>
      <c r="G129" s="23">
        <f t="shared" ref="G129:G130" si="50">E129+F129</f>
        <v>8703.6</v>
      </c>
      <c r="H129" s="23"/>
      <c r="I129" s="23"/>
      <c r="J129" s="23"/>
      <c r="K129" s="23">
        <f t="shared" ref="K129:K130" si="51">G129*0.3</f>
        <v>2611.08</v>
      </c>
      <c r="L129" s="23">
        <f t="shared" ref="L129" si="52">20000-G129-K129</f>
        <v>8685.32</v>
      </c>
      <c r="M129" s="23"/>
      <c r="N129" s="23"/>
      <c r="O129" s="23"/>
      <c r="P129" s="23"/>
      <c r="Q129" s="23"/>
      <c r="R129" s="23">
        <f>G129+K129+L129+O129</f>
        <v>20000</v>
      </c>
      <c r="S129" s="25">
        <f>R129*5</f>
        <v>100000</v>
      </c>
      <c r="T129" s="52"/>
    </row>
    <row r="130" spans="1:20" s="38" customFormat="1" x14ac:dyDescent="0.25">
      <c r="A130" s="57" t="s">
        <v>205</v>
      </c>
      <c r="B130" s="21" t="s">
        <v>128</v>
      </c>
      <c r="C130" s="22">
        <v>1</v>
      </c>
      <c r="D130" s="22">
        <v>10</v>
      </c>
      <c r="E130" s="23">
        <v>5815</v>
      </c>
      <c r="F130" s="22">
        <f>E130*0.1</f>
        <v>581.5</v>
      </c>
      <c r="G130" s="23">
        <f t="shared" si="50"/>
        <v>6396.5</v>
      </c>
      <c r="H130" s="23"/>
      <c r="I130" s="23"/>
      <c r="J130" s="23"/>
      <c r="K130" s="23">
        <f t="shared" si="51"/>
        <v>1918.9499999999998</v>
      </c>
      <c r="L130" s="23">
        <f>13500-G130-K130</f>
        <v>5184.55</v>
      </c>
      <c r="M130" s="23"/>
      <c r="N130" s="23"/>
      <c r="O130" s="23"/>
      <c r="P130" s="23"/>
      <c r="Q130" s="23"/>
      <c r="R130" s="23">
        <f>G130+K130+L130</f>
        <v>13500</v>
      </c>
      <c r="S130" s="25">
        <f t="shared" ref="S130:S139" si="53">R130*5</f>
        <v>67500</v>
      </c>
      <c r="T130" s="46"/>
    </row>
    <row r="131" spans="1:20" x14ac:dyDescent="0.25">
      <c r="A131" s="28"/>
      <c r="B131" s="50"/>
      <c r="C131" s="60"/>
      <c r="D131" s="60"/>
      <c r="E131" s="61"/>
      <c r="F131" s="60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25">
        <f t="shared" si="53"/>
        <v>0</v>
      </c>
      <c r="T131" s="53"/>
    </row>
    <row r="132" spans="1:20" ht="21" customHeight="1" x14ac:dyDescent="0.25">
      <c r="A132" s="20"/>
      <c r="B132" s="63" t="s">
        <v>204</v>
      </c>
      <c r="C132" s="29"/>
      <c r="D132" s="29"/>
      <c r="E132" s="30"/>
      <c r="F132" s="29"/>
      <c r="G132" s="23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25">
        <f t="shared" si="53"/>
        <v>0</v>
      </c>
      <c r="T132" s="53"/>
    </row>
    <row r="133" spans="1:20" ht="11.4" customHeight="1" x14ac:dyDescent="0.25">
      <c r="A133" s="20" t="s">
        <v>207</v>
      </c>
      <c r="B133" s="21" t="s">
        <v>206</v>
      </c>
      <c r="C133" s="22">
        <v>4.5</v>
      </c>
      <c r="D133" s="22">
        <v>14</v>
      </c>
      <c r="E133" s="23">
        <f>7732*C133</f>
        <v>34794</v>
      </c>
      <c r="F133" s="22"/>
      <c r="G133" s="23">
        <f t="shared" ref="G133:G139" si="54">E133+F133</f>
        <v>34794</v>
      </c>
      <c r="H133" s="23"/>
      <c r="I133" s="23"/>
      <c r="J133" s="23"/>
      <c r="K133" s="23">
        <f t="shared" ref="K133" si="55">G133*0.3</f>
        <v>10438.199999999999</v>
      </c>
      <c r="L133" s="23">
        <f>20000*C133-G133-K133</f>
        <v>44767.8</v>
      </c>
      <c r="M133" s="23"/>
      <c r="N133" s="23"/>
      <c r="O133" s="23"/>
      <c r="P133" s="23"/>
      <c r="Q133" s="23"/>
      <c r="R133" s="23">
        <f>G133+K133+L133+O133</f>
        <v>90000</v>
      </c>
      <c r="S133" s="25">
        <f t="shared" si="53"/>
        <v>450000</v>
      </c>
    </row>
    <row r="134" spans="1:20" x14ac:dyDescent="0.25">
      <c r="A134" s="20" t="s">
        <v>209</v>
      </c>
      <c r="B134" s="21" t="s">
        <v>208</v>
      </c>
      <c r="C134" s="22">
        <v>1</v>
      </c>
      <c r="D134" s="22">
        <v>13</v>
      </c>
      <c r="E134" s="23">
        <v>7523</v>
      </c>
      <c r="F134" s="22"/>
      <c r="G134" s="23">
        <f t="shared" si="54"/>
        <v>7523</v>
      </c>
      <c r="H134" s="23"/>
      <c r="I134" s="23"/>
      <c r="J134" s="23"/>
      <c r="K134" s="23">
        <f>G134*0.3</f>
        <v>2256.9</v>
      </c>
      <c r="L134" s="23">
        <f>20000-G134-K134</f>
        <v>10220.1</v>
      </c>
      <c r="M134" s="23"/>
      <c r="N134" s="23"/>
      <c r="O134" s="23"/>
      <c r="P134" s="23"/>
      <c r="Q134" s="23"/>
      <c r="R134" s="23">
        <f>G134+K134+L134+O134</f>
        <v>20000</v>
      </c>
      <c r="S134" s="25">
        <f t="shared" si="53"/>
        <v>100000</v>
      </c>
    </row>
    <row r="135" spans="1:20" s="13" customFormat="1" x14ac:dyDescent="0.25">
      <c r="A135" s="20" t="s">
        <v>210</v>
      </c>
      <c r="B135" s="21" t="s">
        <v>112</v>
      </c>
      <c r="C135" s="22">
        <v>1</v>
      </c>
      <c r="D135" s="22">
        <v>12</v>
      </c>
      <c r="E135" s="23">
        <v>6773</v>
      </c>
      <c r="F135" s="22"/>
      <c r="G135" s="23">
        <f t="shared" si="54"/>
        <v>6773</v>
      </c>
      <c r="H135" s="23"/>
      <c r="I135" s="23"/>
      <c r="J135" s="23"/>
      <c r="K135" s="23">
        <f t="shared" ref="K135:K137" si="56">G135*0.3</f>
        <v>2031.8999999999999</v>
      </c>
      <c r="L135" s="23">
        <f t="shared" ref="L135" si="57">20000-G135-K135</f>
        <v>11195.1</v>
      </c>
      <c r="M135" s="23"/>
      <c r="N135" s="23"/>
      <c r="O135" s="23"/>
      <c r="P135" s="23"/>
      <c r="Q135" s="23"/>
      <c r="R135" s="23">
        <f>G135+K135+L135+O135</f>
        <v>20000</v>
      </c>
      <c r="S135" s="25">
        <f t="shared" si="53"/>
        <v>100000</v>
      </c>
    </row>
    <row r="136" spans="1:20" x14ac:dyDescent="0.25">
      <c r="A136" s="20" t="s">
        <v>213</v>
      </c>
      <c r="B136" s="21" t="s">
        <v>211</v>
      </c>
      <c r="C136" s="22">
        <v>5</v>
      </c>
      <c r="D136" s="22">
        <v>10</v>
      </c>
      <c r="E136" s="23">
        <f>5815*C136</f>
        <v>29075</v>
      </c>
      <c r="F136" s="22"/>
      <c r="G136" s="23">
        <f t="shared" si="54"/>
        <v>29075</v>
      </c>
      <c r="H136" s="23"/>
      <c r="I136" s="23">
        <f>G136*0.1</f>
        <v>2907.5</v>
      </c>
      <c r="J136" s="23"/>
      <c r="K136" s="23">
        <f t="shared" si="56"/>
        <v>8722.5</v>
      </c>
      <c r="L136" s="23">
        <f>13500*C136-G136-I136-K136</f>
        <v>26795</v>
      </c>
      <c r="M136" s="23"/>
      <c r="N136" s="23"/>
      <c r="O136" s="23"/>
      <c r="P136" s="23"/>
      <c r="Q136" s="23"/>
      <c r="R136" s="23">
        <f>G136+I136+K136+L136</f>
        <v>67500</v>
      </c>
      <c r="S136" s="25">
        <f t="shared" si="53"/>
        <v>337500</v>
      </c>
      <c r="T136" s="53"/>
    </row>
    <row r="137" spans="1:20" s="13" customFormat="1" x14ac:dyDescent="0.25">
      <c r="A137" s="20" t="s">
        <v>214</v>
      </c>
      <c r="B137" s="21" t="s">
        <v>91</v>
      </c>
      <c r="C137" s="22">
        <v>1</v>
      </c>
      <c r="D137" s="22">
        <v>10</v>
      </c>
      <c r="E137" s="23">
        <v>5815</v>
      </c>
      <c r="F137" s="22"/>
      <c r="G137" s="23">
        <f t="shared" si="54"/>
        <v>5815</v>
      </c>
      <c r="H137" s="23"/>
      <c r="I137" s="23"/>
      <c r="J137" s="23"/>
      <c r="K137" s="23">
        <f t="shared" si="56"/>
        <v>1744.5</v>
      </c>
      <c r="L137" s="23">
        <f t="shared" ref="L137:L138" si="58">13500-G137-K137</f>
        <v>5940.5</v>
      </c>
      <c r="M137" s="23"/>
      <c r="N137" s="23"/>
      <c r="O137" s="23"/>
      <c r="P137" s="23"/>
      <c r="Q137" s="23"/>
      <c r="R137" s="23">
        <f t="shared" ref="R137:R138" si="59">G137+K137+L137</f>
        <v>13500</v>
      </c>
      <c r="S137" s="25">
        <f t="shared" si="53"/>
        <v>67500</v>
      </c>
    </row>
    <row r="138" spans="1:20" x14ac:dyDescent="0.25">
      <c r="A138" s="20" t="s">
        <v>216</v>
      </c>
      <c r="B138" s="21" t="s">
        <v>215</v>
      </c>
      <c r="C138" s="22">
        <v>1</v>
      </c>
      <c r="D138" s="22">
        <v>10</v>
      </c>
      <c r="E138" s="23">
        <v>5815</v>
      </c>
      <c r="F138" s="22"/>
      <c r="G138" s="23">
        <f t="shared" si="54"/>
        <v>5815</v>
      </c>
      <c r="H138" s="23"/>
      <c r="I138" s="23"/>
      <c r="J138" s="23"/>
      <c r="K138" s="23">
        <f>G138*0.3</f>
        <v>1744.5</v>
      </c>
      <c r="L138" s="23">
        <f t="shared" si="58"/>
        <v>5940.5</v>
      </c>
      <c r="M138" s="23"/>
      <c r="N138" s="23"/>
      <c r="O138" s="23"/>
      <c r="P138" s="23"/>
      <c r="Q138" s="23"/>
      <c r="R138" s="23">
        <f t="shared" si="59"/>
        <v>13500</v>
      </c>
      <c r="S138" s="25">
        <f t="shared" si="53"/>
        <v>67500</v>
      </c>
    </row>
    <row r="139" spans="1:20" x14ac:dyDescent="0.25">
      <c r="A139" s="20" t="s">
        <v>218</v>
      </c>
      <c r="B139" s="21" t="s">
        <v>134</v>
      </c>
      <c r="C139" s="22">
        <v>2</v>
      </c>
      <c r="D139" s="22">
        <v>3</v>
      </c>
      <c r="E139" s="23">
        <f>3770*C139</f>
        <v>7540</v>
      </c>
      <c r="F139" s="22"/>
      <c r="G139" s="23">
        <f t="shared" si="54"/>
        <v>7540</v>
      </c>
      <c r="H139" s="23"/>
      <c r="I139" s="23">
        <f>G139*0.1</f>
        <v>754</v>
      </c>
      <c r="J139" s="23"/>
      <c r="K139" s="23"/>
      <c r="L139" s="23"/>
      <c r="M139" s="23"/>
      <c r="N139" s="23"/>
      <c r="O139" s="23"/>
      <c r="P139" s="23">
        <f>8000*C139-G139</f>
        <v>8460</v>
      </c>
      <c r="Q139" s="23"/>
      <c r="R139" s="23">
        <f>SUM(G139:Q139)</f>
        <v>16754</v>
      </c>
      <c r="S139" s="25">
        <f t="shared" si="53"/>
        <v>83770</v>
      </c>
    </row>
    <row r="140" spans="1:20" s="27" customFormat="1" ht="25.8" customHeight="1" thickBot="1" x14ac:dyDescent="0.3">
      <c r="A140" s="64"/>
      <c r="B140" s="47" t="s">
        <v>59</v>
      </c>
      <c r="C140" s="34">
        <f>SUM(C129:C139)</f>
        <v>17.5</v>
      </c>
      <c r="D140" s="34"/>
      <c r="E140" s="35">
        <f>SUM(E129:E139)</f>
        <v>110403</v>
      </c>
      <c r="F140" s="34">
        <f>SUM(F129:F139)</f>
        <v>2032.1000000000001</v>
      </c>
      <c r="G140" s="35">
        <f>SUM(G129:G139)</f>
        <v>112435.1</v>
      </c>
      <c r="H140" s="35"/>
      <c r="I140" s="35">
        <f>SUM(I129:I139)</f>
        <v>3661.5</v>
      </c>
      <c r="J140" s="35"/>
      <c r="K140" s="35">
        <f>SUM(K129:K139)</f>
        <v>31468.530000000002</v>
      </c>
      <c r="L140" s="35">
        <f>SUM(L129:L139)</f>
        <v>118728.87000000001</v>
      </c>
      <c r="M140" s="35">
        <f>SUM(M139:M139)</f>
        <v>0</v>
      </c>
      <c r="N140" s="35"/>
      <c r="O140" s="35">
        <f>SUM(O134:O139)</f>
        <v>0</v>
      </c>
      <c r="P140" s="35">
        <f>SUM(P139:P139)</f>
        <v>8460</v>
      </c>
      <c r="Q140" s="35"/>
      <c r="R140" s="35">
        <f>SUM(R129:R139)</f>
        <v>274754</v>
      </c>
      <c r="S140" s="36">
        <f>SUM(S129:S139)</f>
        <v>1373770</v>
      </c>
    </row>
    <row r="141" spans="1:20" ht="27.6" customHeight="1" x14ac:dyDescent="0.25">
      <c r="A141" s="15"/>
      <c r="B141" s="55" t="s">
        <v>217</v>
      </c>
      <c r="C141" s="85"/>
      <c r="D141" s="85"/>
      <c r="E141" s="94"/>
      <c r="F141" s="85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110"/>
    </row>
    <row r="142" spans="1:20" x14ac:dyDescent="0.25">
      <c r="A142" s="20" t="s">
        <v>221</v>
      </c>
      <c r="B142" s="21" t="s">
        <v>219</v>
      </c>
      <c r="C142" s="22">
        <v>6</v>
      </c>
      <c r="D142" s="22">
        <v>10</v>
      </c>
      <c r="E142" s="23">
        <f>5815*C142</f>
        <v>34890</v>
      </c>
      <c r="F142" s="22"/>
      <c r="G142" s="23">
        <f t="shared" ref="G142:G143" si="60">E142+F142</f>
        <v>34890</v>
      </c>
      <c r="H142" s="23"/>
      <c r="I142" s="23"/>
      <c r="J142" s="23"/>
      <c r="K142" s="23">
        <f t="shared" ref="K142" si="61">G142*0.3</f>
        <v>10467</v>
      </c>
      <c r="L142" s="23">
        <f>13500*C142-G142-K142-N142</f>
        <v>31556.22</v>
      </c>
      <c r="M142" s="23"/>
      <c r="N142" s="23">
        <f>681.13*C142</f>
        <v>4086.7799999999997</v>
      </c>
      <c r="O142" s="23"/>
      <c r="P142" s="23"/>
      <c r="Q142" s="23"/>
      <c r="R142" s="23">
        <f t="shared" ref="R142" si="62">G142+K142+L142+N142</f>
        <v>81000</v>
      </c>
      <c r="S142" s="25">
        <f>R142*5</f>
        <v>405000</v>
      </c>
    </row>
    <row r="143" spans="1:20" x14ac:dyDescent="0.25">
      <c r="A143" s="20" t="s">
        <v>223</v>
      </c>
      <c r="B143" s="21" t="s">
        <v>78</v>
      </c>
      <c r="C143" s="22">
        <v>5</v>
      </c>
      <c r="D143" s="22">
        <v>4</v>
      </c>
      <c r="E143" s="23">
        <f>4058*C143</f>
        <v>20290</v>
      </c>
      <c r="F143" s="22"/>
      <c r="G143" s="23">
        <f t="shared" si="60"/>
        <v>20290</v>
      </c>
      <c r="H143" s="23"/>
      <c r="I143" s="23"/>
      <c r="J143" s="23"/>
      <c r="K143" s="23"/>
      <c r="L143" s="23"/>
      <c r="M143" s="23"/>
      <c r="N143" s="23">
        <f>475.33*C143</f>
        <v>2376.65</v>
      </c>
      <c r="O143" s="23"/>
      <c r="P143" s="23">
        <f>8000*C143-G143</f>
        <v>19710</v>
      </c>
      <c r="Q143" s="23"/>
      <c r="R143" s="23">
        <f>E143+P143+N143</f>
        <v>42376.65</v>
      </c>
      <c r="S143" s="25">
        <f>R143*5</f>
        <v>211883.25</v>
      </c>
    </row>
    <row r="144" spans="1:20" s="27" customFormat="1" ht="22.2" customHeight="1" thickBot="1" x14ac:dyDescent="0.3">
      <c r="A144" s="64"/>
      <c r="B144" s="47" t="s">
        <v>59</v>
      </c>
      <c r="C144" s="34">
        <f>SUM(C142:C143)</f>
        <v>11</v>
      </c>
      <c r="D144" s="34"/>
      <c r="E144" s="35">
        <f>SUM(E142:E143)</f>
        <v>55180</v>
      </c>
      <c r="F144" s="34"/>
      <c r="G144" s="35">
        <f>SUM(G142:G143)</f>
        <v>55180</v>
      </c>
      <c r="H144" s="35"/>
      <c r="I144" s="35"/>
      <c r="J144" s="35"/>
      <c r="K144" s="35">
        <f>SUM(K142:K143)</f>
        <v>10467</v>
      </c>
      <c r="L144" s="35">
        <f>SUM(L142:L143)</f>
        <v>31556.22</v>
      </c>
      <c r="M144" s="35"/>
      <c r="N144" s="35">
        <f>SUM(N142:N143)</f>
        <v>6463.43</v>
      </c>
      <c r="O144" s="35"/>
      <c r="P144" s="35">
        <f>SUM(P142:P143)</f>
        <v>19710</v>
      </c>
      <c r="Q144" s="35"/>
      <c r="R144" s="35">
        <f>SUM(R142:R143)</f>
        <v>123376.65</v>
      </c>
      <c r="S144" s="36">
        <f>SUM(S142:S143)</f>
        <v>616883.25</v>
      </c>
    </row>
    <row r="145" spans="1:20" ht="29.4" customHeight="1" x14ac:dyDescent="0.25">
      <c r="A145" s="15"/>
      <c r="B145" s="55" t="s">
        <v>222</v>
      </c>
      <c r="C145" s="85"/>
      <c r="D145" s="85"/>
      <c r="E145" s="94"/>
      <c r="F145" s="85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110"/>
    </row>
    <row r="146" spans="1:20" x14ac:dyDescent="0.25">
      <c r="A146" s="20" t="s">
        <v>224</v>
      </c>
      <c r="B146" s="21" t="s">
        <v>206</v>
      </c>
      <c r="C146" s="22">
        <v>1</v>
      </c>
      <c r="D146" s="22">
        <v>12</v>
      </c>
      <c r="E146" s="23">
        <f>6773*C146</f>
        <v>6773</v>
      </c>
      <c r="F146" s="22">
        <f>E146*0.1</f>
        <v>677.30000000000007</v>
      </c>
      <c r="G146" s="23">
        <f t="shared" ref="G146:G151" si="63">E146+F146</f>
        <v>7450.3</v>
      </c>
      <c r="H146" s="23"/>
      <c r="I146" s="23"/>
      <c r="J146" s="23"/>
      <c r="K146" s="23">
        <f>G146*0.3</f>
        <v>2235.09</v>
      </c>
      <c r="L146" s="23">
        <f>20000*C146-G146-K146</f>
        <v>10314.61</v>
      </c>
      <c r="M146" s="23"/>
      <c r="N146" s="23"/>
      <c r="O146" s="23"/>
      <c r="P146" s="23"/>
      <c r="Q146" s="23"/>
      <c r="R146" s="23">
        <f>G146+K146+L146</f>
        <v>20000</v>
      </c>
      <c r="S146" s="25">
        <f>R146*5</f>
        <v>100000</v>
      </c>
    </row>
    <row r="147" spans="1:20" x14ac:dyDescent="0.25">
      <c r="A147" s="20" t="s">
        <v>225</v>
      </c>
      <c r="B147" s="21" t="s">
        <v>91</v>
      </c>
      <c r="C147" s="22">
        <v>1</v>
      </c>
      <c r="D147" s="22">
        <v>7</v>
      </c>
      <c r="E147" s="23">
        <v>4920</v>
      </c>
      <c r="F147" s="22"/>
      <c r="G147" s="23">
        <f t="shared" si="63"/>
        <v>4920</v>
      </c>
      <c r="H147" s="23"/>
      <c r="I147" s="23"/>
      <c r="J147" s="23"/>
      <c r="K147" s="23">
        <f>G147*0.3</f>
        <v>1476</v>
      </c>
      <c r="L147" s="23">
        <f>13500-G147-K147</f>
        <v>7104</v>
      </c>
      <c r="M147" s="23"/>
      <c r="N147" s="23"/>
      <c r="O147" s="23"/>
      <c r="P147" s="23"/>
      <c r="Q147" s="23"/>
      <c r="R147" s="23">
        <f>G147+K147+L147</f>
        <v>13500</v>
      </c>
      <c r="S147" s="25">
        <f t="shared" ref="S147:S149" si="64">R147*5</f>
        <v>67500</v>
      </c>
    </row>
    <row r="148" spans="1:20" x14ac:dyDescent="0.25">
      <c r="A148" s="20" t="s">
        <v>226</v>
      </c>
      <c r="B148" s="21" t="s">
        <v>134</v>
      </c>
      <c r="C148" s="22">
        <v>1</v>
      </c>
      <c r="D148" s="22">
        <v>3</v>
      </c>
      <c r="E148" s="23">
        <v>3770</v>
      </c>
      <c r="F148" s="22"/>
      <c r="G148" s="23">
        <f t="shared" si="63"/>
        <v>3770</v>
      </c>
      <c r="H148" s="23"/>
      <c r="I148" s="23">
        <f>G148*0.1</f>
        <v>377</v>
      </c>
      <c r="J148" s="23"/>
      <c r="K148" s="23"/>
      <c r="L148" s="23"/>
      <c r="M148" s="23"/>
      <c r="N148" s="23"/>
      <c r="O148" s="23"/>
      <c r="P148" s="23">
        <f>8000-G148</f>
        <v>4230</v>
      </c>
      <c r="Q148" s="23"/>
      <c r="R148" s="23">
        <f>SUM(G148:Q148)</f>
        <v>8377</v>
      </c>
      <c r="S148" s="25">
        <f t="shared" si="64"/>
        <v>41885</v>
      </c>
    </row>
    <row r="149" spans="1:20" x14ac:dyDescent="0.25">
      <c r="A149" s="20" t="s">
        <v>228</v>
      </c>
      <c r="B149" s="21" t="s">
        <v>227</v>
      </c>
      <c r="C149" s="22">
        <v>1.75</v>
      </c>
      <c r="D149" s="22">
        <v>1</v>
      </c>
      <c r="E149" s="23">
        <f>3195*C149</f>
        <v>5591.25</v>
      </c>
      <c r="F149" s="22"/>
      <c r="G149" s="23">
        <f t="shared" si="63"/>
        <v>5591.25</v>
      </c>
      <c r="H149" s="23"/>
      <c r="I149" s="23"/>
      <c r="J149" s="23"/>
      <c r="K149" s="23"/>
      <c r="L149" s="23"/>
      <c r="M149" s="23"/>
      <c r="N149" s="23"/>
      <c r="O149" s="23"/>
      <c r="P149" s="23">
        <f>8000*C149-G149</f>
        <v>8408.75</v>
      </c>
      <c r="Q149" s="23"/>
      <c r="R149" s="23">
        <f>SUM(G149:Q149)</f>
        <v>14000</v>
      </c>
      <c r="S149" s="25">
        <f t="shared" si="64"/>
        <v>70000</v>
      </c>
    </row>
    <row r="150" spans="1:20" s="38" customFormat="1" x14ac:dyDescent="0.25">
      <c r="A150" s="20" t="s">
        <v>231</v>
      </c>
      <c r="B150" s="21" t="s">
        <v>229</v>
      </c>
      <c r="C150" s="22">
        <v>0.5</v>
      </c>
      <c r="D150" s="22">
        <v>1</v>
      </c>
      <c r="E150" s="23">
        <v>1597.5</v>
      </c>
      <c r="F150" s="22"/>
      <c r="G150" s="23">
        <f t="shared" si="63"/>
        <v>1597.5</v>
      </c>
      <c r="H150" s="23"/>
      <c r="I150" s="23"/>
      <c r="J150" s="23"/>
      <c r="K150" s="23"/>
      <c r="L150" s="23"/>
      <c r="M150" s="23"/>
      <c r="N150" s="23"/>
      <c r="O150" s="23"/>
      <c r="P150" s="23">
        <f>4000-G150</f>
        <v>2402.5</v>
      </c>
      <c r="Q150" s="23"/>
      <c r="R150" s="23">
        <f>SUM(G150:Q150)</f>
        <v>4000</v>
      </c>
      <c r="S150" s="25">
        <f>R150*3</f>
        <v>12000</v>
      </c>
    </row>
    <row r="151" spans="1:20" s="27" customFormat="1" ht="27" customHeight="1" thickBot="1" x14ac:dyDescent="0.3">
      <c r="A151" s="64"/>
      <c r="B151" s="47" t="s">
        <v>59</v>
      </c>
      <c r="C151" s="34">
        <f>SUM(C146:C150)</f>
        <v>5.25</v>
      </c>
      <c r="D151" s="34"/>
      <c r="E151" s="35">
        <f>SUM(E146:E150)</f>
        <v>22651.75</v>
      </c>
      <c r="F151" s="34">
        <f>SUM(F146:F150)</f>
        <v>677.30000000000007</v>
      </c>
      <c r="G151" s="35">
        <f t="shared" si="63"/>
        <v>23329.05</v>
      </c>
      <c r="H151" s="35"/>
      <c r="I151" s="35">
        <f>SUM(I148:I150)</f>
        <v>377</v>
      </c>
      <c r="J151" s="35"/>
      <c r="K151" s="35">
        <f>SUM(K146:K150)</f>
        <v>3711.09</v>
      </c>
      <c r="L151" s="35">
        <f>SUM(L146:L150)</f>
        <v>17418.61</v>
      </c>
      <c r="M151" s="35"/>
      <c r="N151" s="35"/>
      <c r="O151" s="35"/>
      <c r="P151" s="35">
        <f>SUM(P146:P150)</f>
        <v>15041.25</v>
      </c>
      <c r="Q151" s="35"/>
      <c r="R151" s="35">
        <f>SUM(R146:R150)</f>
        <v>59877</v>
      </c>
      <c r="S151" s="36">
        <f>SUM(S146:S150)</f>
        <v>291385</v>
      </c>
    </row>
    <row r="152" spans="1:20" ht="23.4" customHeight="1" x14ac:dyDescent="0.25">
      <c r="A152" s="15"/>
      <c r="B152" s="55" t="s">
        <v>230</v>
      </c>
      <c r="C152" s="85"/>
      <c r="D152" s="85"/>
      <c r="E152" s="94"/>
      <c r="F152" s="85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110"/>
    </row>
    <row r="153" spans="1:20" x14ac:dyDescent="0.25">
      <c r="A153" s="20" t="s">
        <v>233</v>
      </c>
      <c r="B153" s="21" t="s">
        <v>232</v>
      </c>
      <c r="C153" s="22">
        <v>1.25</v>
      </c>
      <c r="D153" s="22">
        <v>13</v>
      </c>
      <c r="E153" s="23">
        <f>7253*C153</f>
        <v>9066.25</v>
      </c>
      <c r="F153" s="22">
        <f>E153*0.1</f>
        <v>906.625</v>
      </c>
      <c r="G153" s="23">
        <f t="shared" ref="G153:G157" si="65">E153+F153</f>
        <v>9972.875</v>
      </c>
      <c r="H153" s="23"/>
      <c r="I153" s="23"/>
      <c r="J153" s="23"/>
      <c r="K153" s="23">
        <f>G153*0.3</f>
        <v>2991.8624999999997</v>
      </c>
      <c r="L153" s="23">
        <f>20000*C153-G153-K153</f>
        <v>12035.262500000001</v>
      </c>
      <c r="M153" s="23"/>
      <c r="N153" s="23"/>
      <c r="O153" s="23"/>
      <c r="P153" s="23"/>
      <c r="Q153" s="23"/>
      <c r="R153" s="23">
        <f>G153+K153+L153+O153</f>
        <v>25000</v>
      </c>
      <c r="S153" s="25">
        <f>R153*5</f>
        <v>125000</v>
      </c>
    </row>
    <row r="154" spans="1:20" x14ac:dyDescent="0.25">
      <c r="A154" s="20" t="s">
        <v>234</v>
      </c>
      <c r="B154" s="21" t="s">
        <v>212</v>
      </c>
      <c r="C154" s="22">
        <v>2</v>
      </c>
      <c r="D154" s="22">
        <v>10</v>
      </c>
      <c r="E154" s="23">
        <f>5815*C154</f>
        <v>11630</v>
      </c>
      <c r="F154" s="22"/>
      <c r="G154" s="23">
        <f t="shared" si="65"/>
        <v>11630</v>
      </c>
      <c r="H154" s="23"/>
      <c r="I154" s="23"/>
      <c r="J154" s="23"/>
      <c r="K154" s="23">
        <f t="shared" ref="K154:K155" si="66">G154*0.3</f>
        <v>3489</v>
      </c>
      <c r="L154" s="23">
        <f>13500*C154-G154-K154</f>
        <v>11881</v>
      </c>
      <c r="M154" s="23"/>
      <c r="N154" s="23"/>
      <c r="O154" s="23"/>
      <c r="P154" s="23"/>
      <c r="Q154" s="23"/>
      <c r="R154" s="23">
        <f>G154+K154+L154</f>
        <v>27000</v>
      </c>
      <c r="S154" s="25">
        <f t="shared" ref="S154:S156" si="67">R154*5</f>
        <v>135000</v>
      </c>
    </row>
    <row r="155" spans="1:20" s="13" customFormat="1" x14ac:dyDescent="0.25">
      <c r="A155" s="20" t="s">
        <v>236</v>
      </c>
      <c r="B155" s="21" t="s">
        <v>235</v>
      </c>
      <c r="C155" s="22">
        <v>1</v>
      </c>
      <c r="D155" s="22">
        <v>7</v>
      </c>
      <c r="E155" s="23">
        <v>4920</v>
      </c>
      <c r="F155" s="22"/>
      <c r="G155" s="23">
        <f t="shared" si="65"/>
        <v>4920</v>
      </c>
      <c r="H155" s="23"/>
      <c r="I155" s="23"/>
      <c r="J155" s="23"/>
      <c r="K155" s="23">
        <f t="shared" si="66"/>
        <v>1476</v>
      </c>
      <c r="L155" s="23">
        <f>13500-G155-K155</f>
        <v>7104</v>
      </c>
      <c r="M155" s="23"/>
      <c r="N155" s="23"/>
      <c r="O155" s="23"/>
      <c r="P155" s="23"/>
      <c r="Q155" s="23"/>
      <c r="R155" s="23">
        <f>G155+L155+K155</f>
        <v>13500</v>
      </c>
      <c r="S155" s="25">
        <f t="shared" si="67"/>
        <v>67500</v>
      </c>
    </row>
    <row r="156" spans="1:20" s="38" customFormat="1" x14ac:dyDescent="0.25">
      <c r="A156" s="20" t="s">
        <v>238</v>
      </c>
      <c r="B156" s="21" t="s">
        <v>134</v>
      </c>
      <c r="C156" s="22">
        <v>1</v>
      </c>
      <c r="D156" s="22">
        <v>3</v>
      </c>
      <c r="E156" s="23">
        <v>3770</v>
      </c>
      <c r="F156" s="22"/>
      <c r="G156" s="23">
        <f t="shared" si="65"/>
        <v>3770</v>
      </c>
      <c r="H156" s="23"/>
      <c r="I156" s="23">
        <f>G156*0.1</f>
        <v>377</v>
      </c>
      <c r="J156" s="23"/>
      <c r="K156" s="23"/>
      <c r="L156" s="23"/>
      <c r="M156" s="23"/>
      <c r="N156" s="23"/>
      <c r="O156" s="23"/>
      <c r="P156" s="23">
        <f>8000-G156</f>
        <v>4230</v>
      </c>
      <c r="Q156" s="23"/>
      <c r="R156" s="23">
        <f>G156+I156+P156</f>
        <v>8377</v>
      </c>
      <c r="S156" s="25">
        <f t="shared" si="67"/>
        <v>41885</v>
      </c>
      <c r="T156" s="46"/>
    </row>
    <row r="157" spans="1:20" s="27" customFormat="1" ht="27" customHeight="1" thickBot="1" x14ac:dyDescent="0.3">
      <c r="A157" s="64"/>
      <c r="B157" s="47" t="s">
        <v>59</v>
      </c>
      <c r="C157" s="34">
        <f>SUM(C153:C156)</f>
        <v>5.25</v>
      </c>
      <c r="D157" s="34"/>
      <c r="E157" s="35">
        <f>SUM(E153:E156)</f>
        <v>29386.25</v>
      </c>
      <c r="F157" s="34">
        <f>SUM(F153:F156)</f>
        <v>906.625</v>
      </c>
      <c r="G157" s="35">
        <f t="shared" si="65"/>
        <v>30292.875</v>
      </c>
      <c r="H157" s="35"/>
      <c r="I157" s="35">
        <f>SUM(I156)</f>
        <v>377</v>
      </c>
      <c r="J157" s="35"/>
      <c r="K157" s="35">
        <f>SUM(K153:K156)</f>
        <v>7956.8624999999993</v>
      </c>
      <c r="L157" s="35">
        <f>SUM(L153:L156)</f>
        <v>31020.262500000001</v>
      </c>
      <c r="M157" s="35">
        <f>SUM(M153:M155)</f>
        <v>0</v>
      </c>
      <c r="N157" s="35"/>
      <c r="O157" s="35">
        <f>SUM(O153:O156)</f>
        <v>0</v>
      </c>
      <c r="P157" s="35">
        <f>SUM(P156)</f>
        <v>4230</v>
      </c>
      <c r="Q157" s="35"/>
      <c r="R157" s="35">
        <f>SUM(R153:R156)</f>
        <v>73877</v>
      </c>
      <c r="S157" s="36">
        <f>SUM(S153:S156)</f>
        <v>369385</v>
      </c>
    </row>
    <row r="158" spans="1:20" ht="17.399999999999999" customHeight="1" x14ac:dyDescent="0.25">
      <c r="A158" s="15"/>
      <c r="B158" s="55" t="s">
        <v>237</v>
      </c>
      <c r="C158" s="85"/>
      <c r="D158" s="85"/>
      <c r="E158" s="94"/>
      <c r="F158" s="85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110"/>
    </row>
    <row r="159" spans="1:20" x14ac:dyDescent="0.25">
      <c r="A159" s="20" t="s">
        <v>239</v>
      </c>
      <c r="B159" s="21" t="s">
        <v>206</v>
      </c>
      <c r="C159" s="22">
        <v>2.25</v>
      </c>
      <c r="D159" s="22">
        <v>11</v>
      </c>
      <c r="E159" s="23">
        <f>6294*C159</f>
        <v>14161.5</v>
      </c>
      <c r="F159" s="22">
        <f>E159*0.1</f>
        <v>1416.15</v>
      </c>
      <c r="G159" s="23">
        <f t="shared" ref="G159:G164" si="68">E159+F159</f>
        <v>15577.65</v>
      </c>
      <c r="H159" s="23"/>
      <c r="I159" s="23"/>
      <c r="J159" s="23"/>
      <c r="K159" s="23">
        <f>G159*0.3</f>
        <v>4673.2950000000001</v>
      </c>
      <c r="L159" s="23">
        <f>20000*C159-G159-K159</f>
        <v>24749.055</v>
      </c>
      <c r="M159" s="23"/>
      <c r="N159" s="23"/>
      <c r="O159" s="23"/>
      <c r="P159" s="23"/>
      <c r="Q159" s="23"/>
      <c r="R159" s="23">
        <f>SUM(G159:Q159)</f>
        <v>45000</v>
      </c>
      <c r="S159" s="25">
        <f>R159*5</f>
        <v>225000</v>
      </c>
    </row>
    <row r="160" spans="1:20" x14ac:dyDescent="0.25">
      <c r="A160" s="20" t="s">
        <v>240</v>
      </c>
      <c r="B160" s="21" t="s">
        <v>241</v>
      </c>
      <c r="C160" s="22">
        <v>2</v>
      </c>
      <c r="D160" s="22">
        <v>10</v>
      </c>
      <c r="E160" s="23">
        <f>5815*C160</f>
        <v>11630</v>
      </c>
      <c r="F160" s="22"/>
      <c r="G160" s="23">
        <f t="shared" si="68"/>
        <v>11630</v>
      </c>
      <c r="H160" s="23"/>
      <c r="I160" s="23"/>
      <c r="J160" s="23"/>
      <c r="K160" s="23">
        <f t="shared" ref="K160:K161" si="69">G160*0.3</f>
        <v>3489</v>
      </c>
      <c r="L160" s="23">
        <f>13500*C160-G160-K160</f>
        <v>11881</v>
      </c>
      <c r="M160" s="23"/>
      <c r="N160" s="23"/>
      <c r="O160" s="23"/>
      <c r="P160" s="23"/>
      <c r="Q160" s="23"/>
      <c r="R160" s="23">
        <f>G160+K160+L160</f>
        <v>27000</v>
      </c>
      <c r="S160" s="25">
        <f t="shared" ref="S160:S163" si="70">R160*5</f>
        <v>135000</v>
      </c>
    </row>
    <row r="161" spans="1:20" s="13" customFormat="1" x14ac:dyDescent="0.25">
      <c r="A161" s="20" t="s">
        <v>242</v>
      </c>
      <c r="B161" s="21" t="s">
        <v>91</v>
      </c>
      <c r="C161" s="22">
        <v>2</v>
      </c>
      <c r="D161" s="22">
        <v>9</v>
      </c>
      <c r="E161" s="23">
        <f>5527*C161</f>
        <v>11054</v>
      </c>
      <c r="F161" s="22"/>
      <c r="G161" s="23">
        <f t="shared" si="68"/>
        <v>11054</v>
      </c>
      <c r="H161" s="23"/>
      <c r="I161" s="23"/>
      <c r="J161" s="23"/>
      <c r="K161" s="23">
        <f t="shared" si="69"/>
        <v>3316.2</v>
      </c>
      <c r="L161" s="23">
        <f>13500*C161-G161-K161</f>
        <v>12629.8</v>
      </c>
      <c r="M161" s="23"/>
      <c r="N161" s="23"/>
      <c r="O161" s="23"/>
      <c r="P161" s="23"/>
      <c r="Q161" s="23"/>
      <c r="R161" s="23">
        <f>G161+K161+L161</f>
        <v>27000</v>
      </c>
      <c r="S161" s="25">
        <f t="shared" si="70"/>
        <v>135000</v>
      </c>
    </row>
    <row r="162" spans="1:20" x14ac:dyDescent="0.25">
      <c r="A162" s="20" t="s">
        <v>243</v>
      </c>
      <c r="B162" s="21" t="s">
        <v>134</v>
      </c>
      <c r="C162" s="22">
        <v>1</v>
      </c>
      <c r="D162" s="22">
        <v>3</v>
      </c>
      <c r="E162" s="23">
        <v>3770</v>
      </c>
      <c r="F162" s="22"/>
      <c r="G162" s="23">
        <f t="shared" si="68"/>
        <v>3770</v>
      </c>
      <c r="H162" s="23"/>
      <c r="I162" s="23">
        <f>G162*0.1</f>
        <v>377</v>
      </c>
      <c r="J162" s="23"/>
      <c r="K162" s="23"/>
      <c r="L162" s="23"/>
      <c r="M162" s="23"/>
      <c r="N162" s="23"/>
      <c r="O162" s="23"/>
      <c r="P162" s="23">
        <f>8000-G162</f>
        <v>4230</v>
      </c>
      <c r="Q162" s="23"/>
      <c r="R162" s="23">
        <f>SUM(G162:Q162)</f>
        <v>8377</v>
      </c>
      <c r="S162" s="25">
        <f t="shared" si="70"/>
        <v>41885</v>
      </c>
    </row>
    <row r="163" spans="1:20" s="38" customFormat="1" x14ac:dyDescent="0.25">
      <c r="A163" s="20" t="s">
        <v>244</v>
      </c>
      <c r="B163" s="21" t="s">
        <v>245</v>
      </c>
      <c r="C163" s="22">
        <v>1</v>
      </c>
      <c r="D163" s="22">
        <v>5</v>
      </c>
      <c r="E163" s="23">
        <v>4345</v>
      </c>
      <c r="F163" s="22"/>
      <c r="G163" s="23">
        <f t="shared" si="68"/>
        <v>4345</v>
      </c>
      <c r="H163" s="23"/>
      <c r="I163" s="23"/>
      <c r="J163" s="23"/>
      <c r="K163" s="23"/>
      <c r="L163" s="23"/>
      <c r="M163" s="23"/>
      <c r="N163" s="23"/>
      <c r="O163" s="23"/>
      <c r="P163" s="23">
        <f>8000-G163</f>
        <v>3655</v>
      </c>
      <c r="Q163" s="23"/>
      <c r="R163" s="23">
        <f>G163+P163</f>
        <v>8000</v>
      </c>
      <c r="S163" s="25">
        <f t="shared" si="70"/>
        <v>40000</v>
      </c>
    </row>
    <row r="164" spans="1:20" s="27" customFormat="1" ht="17.399999999999999" customHeight="1" thickBot="1" x14ac:dyDescent="0.3">
      <c r="A164" s="64"/>
      <c r="B164" s="47" t="s">
        <v>59</v>
      </c>
      <c r="C164" s="34">
        <f>SUM(C159:C163)</f>
        <v>8.25</v>
      </c>
      <c r="D164" s="34"/>
      <c r="E164" s="35">
        <f>SUM(E159:E163)</f>
        <v>44960.5</v>
      </c>
      <c r="F164" s="34">
        <f>SUM(F159:F163)</f>
        <v>1416.15</v>
      </c>
      <c r="G164" s="35">
        <f t="shared" si="68"/>
        <v>46376.65</v>
      </c>
      <c r="H164" s="35"/>
      <c r="I164" s="35">
        <f>SUM(I162:I163)</f>
        <v>377</v>
      </c>
      <c r="J164" s="35"/>
      <c r="K164" s="35">
        <f>SUM(K159:K163)</f>
        <v>11478.494999999999</v>
      </c>
      <c r="L164" s="35">
        <f>SUM(L159:L163)</f>
        <v>49259.854999999996</v>
      </c>
      <c r="M164" s="35">
        <f>M159</f>
        <v>0</v>
      </c>
      <c r="N164" s="35"/>
      <c r="O164" s="35">
        <f>SUM(O159:O163)</f>
        <v>0</v>
      </c>
      <c r="P164" s="35">
        <f>SUM(P162:P163)</f>
        <v>7885</v>
      </c>
      <c r="Q164" s="35"/>
      <c r="R164" s="35">
        <f>SUM(R159:R163)</f>
        <v>115377</v>
      </c>
      <c r="S164" s="36">
        <f>SUM(S159:S163)</f>
        <v>576885</v>
      </c>
    </row>
    <row r="165" spans="1:20" s="13" customFormat="1" ht="25.8" customHeight="1" x14ac:dyDescent="0.2">
      <c r="A165" s="18"/>
      <c r="B165" s="55" t="s">
        <v>246</v>
      </c>
      <c r="C165" s="85"/>
      <c r="D165" s="85"/>
      <c r="E165" s="94"/>
      <c r="F165" s="85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110"/>
    </row>
    <row r="166" spans="1:20" x14ac:dyDescent="0.25">
      <c r="A166" s="20" t="s">
        <v>247</v>
      </c>
      <c r="B166" s="21" t="s">
        <v>232</v>
      </c>
      <c r="C166" s="22">
        <v>1.25</v>
      </c>
      <c r="D166" s="22">
        <v>11</v>
      </c>
      <c r="E166" s="23">
        <f>6294*C166</f>
        <v>7867.5</v>
      </c>
      <c r="F166" s="22">
        <f>E166*0.1</f>
        <v>786.75</v>
      </c>
      <c r="G166" s="23">
        <f t="shared" ref="G166:G169" si="71">E166+F166</f>
        <v>8654.25</v>
      </c>
      <c r="H166" s="23"/>
      <c r="I166" s="23"/>
      <c r="J166" s="23"/>
      <c r="K166" s="23">
        <f>G166*0.3</f>
        <v>2596.2750000000001</v>
      </c>
      <c r="L166" s="23">
        <f>20000*C166-G166-K166</f>
        <v>13749.475</v>
      </c>
      <c r="M166" s="23"/>
      <c r="N166" s="23"/>
      <c r="O166" s="23"/>
      <c r="P166" s="23"/>
      <c r="Q166" s="23"/>
      <c r="R166" s="23">
        <f>G166+K166+L166+O166</f>
        <v>25000</v>
      </c>
      <c r="S166" s="25">
        <f>R166*5</f>
        <v>125000</v>
      </c>
      <c r="T166" s="53"/>
    </row>
    <row r="167" spans="1:20" x14ac:dyDescent="0.25">
      <c r="A167" s="20" t="s">
        <v>248</v>
      </c>
      <c r="B167" s="21" t="s">
        <v>235</v>
      </c>
      <c r="C167" s="22">
        <v>1</v>
      </c>
      <c r="D167" s="22">
        <v>10</v>
      </c>
      <c r="E167" s="23">
        <v>5815</v>
      </c>
      <c r="F167" s="22"/>
      <c r="G167" s="23">
        <f t="shared" si="71"/>
        <v>5815</v>
      </c>
      <c r="H167" s="23"/>
      <c r="I167" s="23"/>
      <c r="J167" s="23"/>
      <c r="K167" s="23">
        <f t="shared" ref="K167:K168" si="72">G167*0.3</f>
        <v>1744.5</v>
      </c>
      <c r="L167" s="23">
        <f>13500-G167-K167</f>
        <v>5940.5</v>
      </c>
      <c r="M167" s="23"/>
      <c r="N167" s="23"/>
      <c r="O167" s="23"/>
      <c r="P167" s="23"/>
      <c r="Q167" s="23"/>
      <c r="R167" s="23">
        <f>G167+K167+L167</f>
        <v>13500</v>
      </c>
      <c r="S167" s="25">
        <f t="shared" ref="S167:S170" si="73">R167*5</f>
        <v>67500</v>
      </c>
    </row>
    <row r="168" spans="1:20" x14ac:dyDescent="0.25">
      <c r="A168" s="20" t="s">
        <v>249</v>
      </c>
      <c r="B168" s="21" t="s">
        <v>91</v>
      </c>
      <c r="C168" s="22">
        <v>0.5</v>
      </c>
      <c r="D168" s="22">
        <v>10</v>
      </c>
      <c r="E168" s="23">
        <v>2907.5</v>
      </c>
      <c r="F168" s="22"/>
      <c r="G168" s="23">
        <f t="shared" si="71"/>
        <v>2907.5</v>
      </c>
      <c r="H168" s="23"/>
      <c r="I168" s="23"/>
      <c r="J168" s="23"/>
      <c r="K168" s="23">
        <f t="shared" si="72"/>
        <v>872.25</v>
      </c>
      <c r="L168" s="23">
        <f>13500/2-G168-K168</f>
        <v>2970.25</v>
      </c>
      <c r="M168" s="23"/>
      <c r="N168" s="23"/>
      <c r="O168" s="23"/>
      <c r="P168" s="23"/>
      <c r="Q168" s="23"/>
      <c r="R168" s="23">
        <f>G168+K168+L168</f>
        <v>6750</v>
      </c>
      <c r="S168" s="25">
        <f t="shared" si="73"/>
        <v>33750</v>
      </c>
    </row>
    <row r="169" spans="1:20" x14ac:dyDescent="0.25">
      <c r="A169" s="20" t="s">
        <v>250</v>
      </c>
      <c r="B169" s="21" t="s">
        <v>134</v>
      </c>
      <c r="C169" s="22">
        <v>0.5</v>
      </c>
      <c r="D169" s="22">
        <v>3</v>
      </c>
      <c r="E169" s="23">
        <v>1885</v>
      </c>
      <c r="F169" s="22"/>
      <c r="G169" s="23">
        <f t="shared" si="71"/>
        <v>1885</v>
      </c>
      <c r="H169" s="23"/>
      <c r="I169" s="23">
        <f>G169*0.1</f>
        <v>188.5</v>
      </c>
      <c r="J169" s="23"/>
      <c r="K169" s="23"/>
      <c r="L169" s="23"/>
      <c r="M169" s="23"/>
      <c r="N169" s="23"/>
      <c r="O169" s="23"/>
      <c r="P169" s="23">
        <f>8000/2-G169</f>
        <v>2115</v>
      </c>
      <c r="Q169" s="23"/>
      <c r="R169" s="23">
        <f>SUM(G169:Q169)</f>
        <v>4188.5</v>
      </c>
      <c r="S169" s="25">
        <f t="shared" si="73"/>
        <v>20942.5</v>
      </c>
    </row>
    <row r="170" spans="1:20" s="38" customFormat="1" x14ac:dyDescent="0.25">
      <c r="A170" s="20" t="s">
        <v>251</v>
      </c>
      <c r="B170" s="21" t="s">
        <v>229</v>
      </c>
      <c r="C170" s="22">
        <v>0.5</v>
      </c>
      <c r="D170" s="22">
        <v>1</v>
      </c>
      <c r="E170" s="23">
        <v>1597.5</v>
      </c>
      <c r="F170" s="22"/>
      <c r="G170" s="23">
        <f>E170+F170</f>
        <v>1597.5</v>
      </c>
      <c r="H170" s="23"/>
      <c r="I170" s="23"/>
      <c r="J170" s="23"/>
      <c r="K170" s="23"/>
      <c r="L170" s="23"/>
      <c r="M170" s="23"/>
      <c r="N170" s="23"/>
      <c r="O170" s="23"/>
      <c r="P170" s="23">
        <f>8000/2-G170</f>
        <v>2402.5</v>
      </c>
      <c r="Q170" s="23"/>
      <c r="R170" s="23">
        <f t="shared" ref="R170" si="74">SUM(G170:Q170)</f>
        <v>4000</v>
      </c>
      <c r="S170" s="25">
        <f t="shared" si="73"/>
        <v>20000</v>
      </c>
    </row>
    <row r="171" spans="1:20" s="49" customFormat="1" ht="25.8" customHeight="1" thickBot="1" x14ac:dyDescent="0.3">
      <c r="A171" s="64"/>
      <c r="B171" s="47" t="s">
        <v>59</v>
      </c>
      <c r="C171" s="34">
        <f>SUM(C166:C170)</f>
        <v>3.75</v>
      </c>
      <c r="D171" s="34"/>
      <c r="E171" s="35">
        <f>SUM(E166:E170)</f>
        <v>20072.5</v>
      </c>
      <c r="F171" s="34">
        <f>SUM(F166:F170)</f>
        <v>786.75</v>
      </c>
      <c r="G171" s="35">
        <f>SUM(G166:G170)</f>
        <v>20859.25</v>
      </c>
      <c r="H171" s="35"/>
      <c r="I171" s="35">
        <f>SUM(I169:I170)</f>
        <v>188.5</v>
      </c>
      <c r="J171" s="35"/>
      <c r="K171" s="35">
        <f>SUM(K166:K170)</f>
        <v>5213.0249999999996</v>
      </c>
      <c r="L171" s="35">
        <f>SUM(L166:L170)</f>
        <v>22660.224999999999</v>
      </c>
      <c r="M171" s="35"/>
      <c r="N171" s="35"/>
      <c r="O171" s="35">
        <f>SUM(O166:O170)</f>
        <v>0</v>
      </c>
      <c r="P171" s="35">
        <f>SUM(P169:P170)</f>
        <v>4517.5</v>
      </c>
      <c r="Q171" s="35"/>
      <c r="R171" s="35">
        <f>SUM(R166:R170)</f>
        <v>53438.5</v>
      </c>
      <c r="S171" s="36">
        <f>SUM(S166:S170)</f>
        <v>267192.5</v>
      </c>
    </row>
    <row r="172" spans="1:20" s="13" customFormat="1" ht="23.4" customHeight="1" x14ac:dyDescent="0.2">
      <c r="A172" s="18"/>
      <c r="B172" s="55" t="s">
        <v>252</v>
      </c>
      <c r="C172" s="85"/>
      <c r="D172" s="85"/>
      <c r="E172" s="94"/>
      <c r="F172" s="85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110"/>
    </row>
    <row r="173" spans="1:20" s="13" customFormat="1" x14ac:dyDescent="0.25">
      <c r="A173" s="20" t="s">
        <v>253</v>
      </c>
      <c r="B173" s="21" t="s">
        <v>206</v>
      </c>
      <c r="C173" s="22">
        <v>1</v>
      </c>
      <c r="D173" s="22">
        <v>14</v>
      </c>
      <c r="E173" s="23">
        <v>7732</v>
      </c>
      <c r="F173" s="22">
        <f>E173*0.1</f>
        <v>773.2</v>
      </c>
      <c r="G173" s="23">
        <f t="shared" ref="G173:G180" si="75">E173+F173</f>
        <v>8505.2000000000007</v>
      </c>
      <c r="H173" s="23"/>
      <c r="I173" s="23"/>
      <c r="J173" s="23"/>
      <c r="K173" s="23">
        <f>G173*0.3</f>
        <v>2551.56</v>
      </c>
      <c r="L173" s="23">
        <f>20000-G173-K173</f>
        <v>8943.24</v>
      </c>
      <c r="M173" s="23"/>
      <c r="N173" s="23"/>
      <c r="O173" s="23"/>
      <c r="P173" s="23"/>
      <c r="Q173" s="23"/>
      <c r="R173" s="23">
        <f>G173+K173+L173+O173</f>
        <v>20000</v>
      </c>
      <c r="S173" s="25">
        <f>R173*5</f>
        <v>100000</v>
      </c>
    </row>
    <row r="174" spans="1:20" s="13" customFormat="1" x14ac:dyDescent="0.25">
      <c r="A174" s="20" t="s">
        <v>254</v>
      </c>
      <c r="B174" s="21" t="s">
        <v>112</v>
      </c>
      <c r="C174" s="22">
        <v>0.5</v>
      </c>
      <c r="D174" s="22">
        <v>13</v>
      </c>
      <c r="E174" s="23">
        <f>7253*C174</f>
        <v>3626.5</v>
      </c>
      <c r="F174" s="22"/>
      <c r="G174" s="23">
        <f t="shared" si="75"/>
        <v>3626.5</v>
      </c>
      <c r="H174" s="23"/>
      <c r="I174" s="23"/>
      <c r="J174" s="23"/>
      <c r="K174" s="23">
        <f t="shared" ref="K174:K177" si="76">G174*0.3</f>
        <v>1087.95</v>
      </c>
      <c r="L174" s="23">
        <f>20000*C174-G174-K174</f>
        <v>5285.55</v>
      </c>
      <c r="M174" s="23"/>
      <c r="N174" s="23"/>
      <c r="O174" s="23"/>
      <c r="P174" s="23"/>
      <c r="Q174" s="23"/>
      <c r="R174" s="23">
        <f>G174+K174+L174+O174</f>
        <v>10000</v>
      </c>
      <c r="S174" s="25">
        <f t="shared" ref="S174:S179" si="77">R174*5</f>
        <v>50000</v>
      </c>
    </row>
    <row r="175" spans="1:20" x14ac:dyDescent="0.25">
      <c r="A175" s="20" t="s">
        <v>255</v>
      </c>
      <c r="B175" s="21" t="s">
        <v>171</v>
      </c>
      <c r="C175" s="22">
        <v>1</v>
      </c>
      <c r="D175" s="22">
        <v>11</v>
      </c>
      <c r="E175" s="23">
        <v>6294</v>
      </c>
      <c r="F175" s="22"/>
      <c r="G175" s="23">
        <f t="shared" si="75"/>
        <v>6294</v>
      </c>
      <c r="H175" s="23"/>
      <c r="I175" s="23"/>
      <c r="J175" s="23"/>
      <c r="K175" s="23">
        <f t="shared" si="76"/>
        <v>1888.1999999999998</v>
      </c>
      <c r="L175" s="23">
        <f>20000-G175-K175</f>
        <v>11817.8</v>
      </c>
      <c r="M175" s="23"/>
      <c r="N175" s="23"/>
      <c r="O175" s="23"/>
      <c r="P175" s="23"/>
      <c r="Q175" s="23"/>
      <c r="R175" s="23">
        <f>G175+K175+L175+O175</f>
        <v>20000</v>
      </c>
      <c r="S175" s="25">
        <f t="shared" si="77"/>
        <v>100000</v>
      </c>
    </row>
    <row r="176" spans="1:20" x14ac:dyDescent="0.25">
      <c r="A176" s="20" t="s">
        <v>256</v>
      </c>
      <c r="B176" s="21" t="s">
        <v>212</v>
      </c>
      <c r="C176" s="22">
        <v>1</v>
      </c>
      <c r="D176" s="22">
        <v>10</v>
      </c>
      <c r="E176" s="23">
        <v>5815</v>
      </c>
      <c r="F176" s="22"/>
      <c r="G176" s="23">
        <f t="shared" si="75"/>
        <v>5815</v>
      </c>
      <c r="H176" s="23"/>
      <c r="I176" s="23"/>
      <c r="J176" s="23"/>
      <c r="K176" s="23">
        <f t="shared" si="76"/>
        <v>1744.5</v>
      </c>
      <c r="L176" s="23">
        <f>13500-G176-K176</f>
        <v>5940.5</v>
      </c>
      <c r="M176" s="23"/>
      <c r="N176" s="23"/>
      <c r="O176" s="23"/>
      <c r="P176" s="23"/>
      <c r="Q176" s="23"/>
      <c r="R176" s="23">
        <f>G176+K176+L176</f>
        <v>13500</v>
      </c>
      <c r="S176" s="25">
        <f t="shared" si="77"/>
        <v>67500</v>
      </c>
    </row>
    <row r="177" spans="1:20" x14ac:dyDescent="0.25">
      <c r="A177" s="20" t="s">
        <v>257</v>
      </c>
      <c r="B177" s="21" t="s">
        <v>235</v>
      </c>
      <c r="C177" s="22">
        <v>2</v>
      </c>
      <c r="D177" s="22">
        <v>10</v>
      </c>
      <c r="E177" s="23">
        <f>5815*C177</f>
        <v>11630</v>
      </c>
      <c r="F177" s="22"/>
      <c r="G177" s="23">
        <f t="shared" si="75"/>
        <v>11630</v>
      </c>
      <c r="H177" s="23"/>
      <c r="I177" s="23"/>
      <c r="J177" s="23"/>
      <c r="K177" s="23">
        <f t="shared" si="76"/>
        <v>3489</v>
      </c>
      <c r="L177" s="23">
        <f>13500*C177-G177-K177</f>
        <v>11881</v>
      </c>
      <c r="M177" s="23"/>
      <c r="N177" s="23"/>
      <c r="O177" s="23"/>
      <c r="P177" s="23"/>
      <c r="Q177" s="23"/>
      <c r="R177" s="23">
        <f t="shared" ref="R177" si="78">G177+K177+L177</f>
        <v>27000</v>
      </c>
      <c r="S177" s="25">
        <f t="shared" si="77"/>
        <v>135000</v>
      </c>
    </row>
    <row r="178" spans="1:20" x14ac:dyDescent="0.25">
      <c r="A178" s="20" t="s">
        <v>258</v>
      </c>
      <c r="B178" s="21" t="s">
        <v>134</v>
      </c>
      <c r="C178" s="22">
        <v>1</v>
      </c>
      <c r="D178" s="22">
        <v>3</v>
      </c>
      <c r="E178" s="23">
        <v>3770</v>
      </c>
      <c r="F178" s="22"/>
      <c r="G178" s="23">
        <f t="shared" si="75"/>
        <v>3770</v>
      </c>
      <c r="H178" s="23"/>
      <c r="I178" s="23">
        <f>G178*0.1</f>
        <v>377</v>
      </c>
      <c r="J178" s="23"/>
      <c r="K178" s="23"/>
      <c r="L178" s="23"/>
      <c r="M178" s="23"/>
      <c r="N178" s="23"/>
      <c r="O178" s="23"/>
      <c r="P178" s="23">
        <f>8000-G178</f>
        <v>4230</v>
      </c>
      <c r="Q178" s="23"/>
      <c r="R178" s="23">
        <f>G178+I178+P178</f>
        <v>8377</v>
      </c>
      <c r="S178" s="25">
        <f t="shared" si="77"/>
        <v>41885</v>
      </c>
      <c r="T178" s="53"/>
    </row>
    <row r="179" spans="1:20" s="38" customFormat="1" x14ac:dyDescent="0.25">
      <c r="A179" s="20" t="s">
        <v>260</v>
      </c>
      <c r="B179" s="21" t="s">
        <v>245</v>
      </c>
      <c r="C179" s="22">
        <v>0.5</v>
      </c>
      <c r="D179" s="22">
        <v>5</v>
      </c>
      <c r="E179" s="23">
        <v>2172.5</v>
      </c>
      <c r="F179" s="22"/>
      <c r="G179" s="23">
        <f t="shared" si="75"/>
        <v>2172.5</v>
      </c>
      <c r="H179" s="23"/>
      <c r="I179" s="23"/>
      <c r="J179" s="23"/>
      <c r="K179" s="23"/>
      <c r="L179" s="23"/>
      <c r="M179" s="23"/>
      <c r="N179" s="23"/>
      <c r="O179" s="23"/>
      <c r="P179" s="23">
        <f>8000/2-G179</f>
        <v>1827.5</v>
      </c>
      <c r="Q179" s="23"/>
      <c r="R179" s="23">
        <f>SUM(G179:Q179)</f>
        <v>4000</v>
      </c>
      <c r="S179" s="25">
        <f t="shared" si="77"/>
        <v>20000</v>
      </c>
    </row>
    <row r="180" spans="1:20" s="49" customFormat="1" ht="45" customHeight="1" thickBot="1" x14ac:dyDescent="0.3">
      <c r="A180" s="64"/>
      <c r="B180" s="47" t="s">
        <v>59</v>
      </c>
      <c r="C180" s="34">
        <f>SUM(C173:C179)</f>
        <v>7</v>
      </c>
      <c r="D180" s="34"/>
      <c r="E180" s="35">
        <f>SUM(E173:E179)</f>
        <v>41040</v>
      </c>
      <c r="F180" s="34">
        <f>SUM(F173:F179)</f>
        <v>773.2</v>
      </c>
      <c r="G180" s="35">
        <f t="shared" si="75"/>
        <v>41813.199999999997</v>
      </c>
      <c r="H180" s="35"/>
      <c r="I180" s="35">
        <f>SUM(I178:I179)</f>
        <v>377</v>
      </c>
      <c r="J180" s="35"/>
      <c r="K180" s="35">
        <f>SUM(K173:K179)</f>
        <v>10761.21</v>
      </c>
      <c r="L180" s="35">
        <f>SUM(L173:L179)</f>
        <v>43868.09</v>
      </c>
      <c r="M180" s="35"/>
      <c r="N180" s="35"/>
      <c r="O180" s="35">
        <f>SUM(O173:O179)</f>
        <v>0</v>
      </c>
      <c r="P180" s="35">
        <f>SUM(P173:P179)</f>
        <v>6057.5</v>
      </c>
      <c r="Q180" s="35"/>
      <c r="R180" s="35">
        <f>SUM(R173:R179)</f>
        <v>102877</v>
      </c>
      <c r="S180" s="36">
        <f>SUM(S173:S179)</f>
        <v>514385</v>
      </c>
    </row>
    <row r="181" spans="1:20" s="13" customFormat="1" ht="22.8" customHeight="1" x14ac:dyDescent="0.2">
      <c r="A181" s="18"/>
      <c r="B181" s="55" t="s">
        <v>259</v>
      </c>
      <c r="C181" s="85"/>
      <c r="D181" s="85"/>
      <c r="E181" s="94"/>
      <c r="F181" s="85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110"/>
    </row>
    <row r="182" spans="1:20" s="13" customFormat="1" x14ac:dyDescent="0.25">
      <c r="A182" s="20" t="s">
        <v>261</v>
      </c>
      <c r="B182" s="21" t="s">
        <v>206</v>
      </c>
      <c r="C182" s="22">
        <v>0.75</v>
      </c>
      <c r="D182" s="22">
        <v>14</v>
      </c>
      <c r="E182" s="23">
        <f>7732*C182</f>
        <v>5799</v>
      </c>
      <c r="F182" s="22">
        <f>E182*0.1</f>
        <v>579.9</v>
      </c>
      <c r="G182" s="23">
        <f t="shared" ref="G182:G185" si="79">E182+F182</f>
        <v>6378.9</v>
      </c>
      <c r="H182" s="23"/>
      <c r="I182" s="23"/>
      <c r="J182" s="23"/>
      <c r="K182" s="23"/>
      <c r="L182" s="23">
        <f>20000*C182-G182</f>
        <v>8621.1</v>
      </c>
      <c r="M182" s="23"/>
      <c r="N182" s="23"/>
      <c r="O182" s="23"/>
      <c r="P182" s="23"/>
      <c r="Q182" s="23"/>
      <c r="R182" s="23">
        <f>SUM(G182:Q182)</f>
        <v>15000</v>
      </c>
      <c r="S182" s="25">
        <f>R182*5</f>
        <v>75000</v>
      </c>
    </row>
    <row r="183" spans="1:20" x14ac:dyDescent="0.25">
      <c r="A183" s="20" t="s">
        <v>262</v>
      </c>
      <c r="B183" s="21" t="s">
        <v>235</v>
      </c>
      <c r="C183" s="22">
        <v>1</v>
      </c>
      <c r="D183" s="22">
        <v>10</v>
      </c>
      <c r="E183" s="23">
        <v>5815</v>
      </c>
      <c r="F183" s="22"/>
      <c r="G183" s="23">
        <f t="shared" si="79"/>
        <v>5815</v>
      </c>
      <c r="H183" s="23"/>
      <c r="I183" s="23"/>
      <c r="J183" s="23"/>
      <c r="K183" s="23">
        <f>G183*0.3</f>
        <v>1744.5</v>
      </c>
      <c r="L183" s="23">
        <f>13500-G183-K183</f>
        <v>5940.5</v>
      </c>
      <c r="M183" s="23"/>
      <c r="N183" s="23"/>
      <c r="O183" s="23"/>
      <c r="P183" s="23"/>
      <c r="Q183" s="23"/>
      <c r="R183" s="23">
        <f>G183+K183+L183</f>
        <v>13500</v>
      </c>
      <c r="S183" s="25">
        <f t="shared" ref="S183:S184" si="80">R183*5</f>
        <v>67500</v>
      </c>
      <c r="T183" s="53"/>
    </row>
    <row r="184" spans="1:20" s="38" customFormat="1" x14ac:dyDescent="0.25">
      <c r="A184" s="20" t="s">
        <v>264</v>
      </c>
      <c r="B184" s="21" t="s">
        <v>134</v>
      </c>
      <c r="C184" s="22">
        <v>1</v>
      </c>
      <c r="D184" s="22">
        <v>3</v>
      </c>
      <c r="E184" s="23">
        <v>3770</v>
      </c>
      <c r="F184" s="22"/>
      <c r="G184" s="23">
        <f t="shared" si="79"/>
        <v>3770</v>
      </c>
      <c r="H184" s="23"/>
      <c r="I184" s="23">
        <f>G184*0.1</f>
        <v>377</v>
      </c>
      <c r="J184" s="23"/>
      <c r="K184" s="23"/>
      <c r="L184" s="23"/>
      <c r="M184" s="23"/>
      <c r="N184" s="23"/>
      <c r="O184" s="23"/>
      <c r="P184" s="23">
        <f>8000-G184</f>
        <v>4230</v>
      </c>
      <c r="Q184" s="23"/>
      <c r="R184" s="23">
        <f>G184+I184+P184</f>
        <v>8377</v>
      </c>
      <c r="S184" s="25">
        <f t="shared" si="80"/>
        <v>41885</v>
      </c>
    </row>
    <row r="185" spans="1:20" s="49" customFormat="1" ht="23.4" customHeight="1" thickBot="1" x14ac:dyDescent="0.3">
      <c r="A185" s="64"/>
      <c r="B185" s="47" t="s">
        <v>59</v>
      </c>
      <c r="C185" s="34">
        <f>SUM(C182:C184)</f>
        <v>2.75</v>
      </c>
      <c r="D185" s="34"/>
      <c r="E185" s="35">
        <f>SUM(E182:E184)</f>
        <v>15384</v>
      </c>
      <c r="F185" s="34">
        <f>SUM(F182:F184)</f>
        <v>579.9</v>
      </c>
      <c r="G185" s="35">
        <f t="shared" si="79"/>
        <v>15963.9</v>
      </c>
      <c r="H185" s="35"/>
      <c r="I185" s="35">
        <f>SUM(I184)</f>
        <v>377</v>
      </c>
      <c r="J185" s="35"/>
      <c r="K185" s="35">
        <f>K183</f>
        <v>1744.5</v>
      </c>
      <c r="L185" s="35">
        <f>L182+L183</f>
        <v>14561.6</v>
      </c>
      <c r="M185" s="35">
        <f>M182</f>
        <v>0</v>
      </c>
      <c r="N185" s="35"/>
      <c r="O185" s="35"/>
      <c r="P185" s="35">
        <f>SUM(P184)</f>
        <v>4230</v>
      </c>
      <c r="Q185" s="35"/>
      <c r="R185" s="35">
        <f>SUM(R182:R184)</f>
        <v>36877</v>
      </c>
      <c r="S185" s="36">
        <f>SUM(S182:S184)</f>
        <v>184385</v>
      </c>
    </row>
    <row r="186" spans="1:20" ht="21" customHeight="1" x14ac:dyDescent="0.25">
      <c r="A186" s="15"/>
      <c r="B186" s="55" t="s">
        <v>312</v>
      </c>
      <c r="C186" s="85"/>
      <c r="D186" s="85"/>
      <c r="E186" s="94"/>
      <c r="F186" s="85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110"/>
    </row>
    <row r="187" spans="1:20" ht="24.6" customHeight="1" x14ac:dyDescent="0.25">
      <c r="A187" s="20"/>
      <c r="B187" s="44" t="s">
        <v>263</v>
      </c>
      <c r="C187" s="22"/>
      <c r="D187" s="22"/>
      <c r="E187" s="23"/>
      <c r="F187" s="22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5"/>
    </row>
    <row r="188" spans="1:20" x14ac:dyDescent="0.25">
      <c r="A188" s="20" t="s">
        <v>264</v>
      </c>
      <c r="B188" s="21" t="s">
        <v>220</v>
      </c>
      <c r="C188" s="22">
        <v>0.5</v>
      </c>
      <c r="D188" s="22">
        <v>10</v>
      </c>
      <c r="E188" s="23">
        <v>2907.5</v>
      </c>
      <c r="F188" s="22"/>
      <c r="G188" s="23">
        <f t="shared" ref="G188:G191" si="81">E188+F188</f>
        <v>2907.5</v>
      </c>
      <c r="H188" s="23"/>
      <c r="I188" s="23"/>
      <c r="J188" s="23"/>
      <c r="K188" s="23">
        <f>G188*0.3</f>
        <v>872.25</v>
      </c>
      <c r="L188" s="23">
        <f>R188-K188-G188</f>
        <v>2970.25</v>
      </c>
      <c r="M188" s="23"/>
      <c r="N188" s="23"/>
      <c r="O188" s="23"/>
      <c r="P188" s="23"/>
      <c r="Q188" s="23"/>
      <c r="R188" s="23">
        <v>6750</v>
      </c>
      <c r="S188" s="25">
        <f>R188*5</f>
        <v>33750</v>
      </c>
    </row>
    <row r="189" spans="1:20" x14ac:dyDescent="0.25">
      <c r="A189" s="20" t="s">
        <v>265</v>
      </c>
      <c r="B189" s="21" t="s">
        <v>134</v>
      </c>
      <c r="C189" s="22">
        <v>0.25</v>
      </c>
      <c r="D189" s="22">
        <v>3</v>
      </c>
      <c r="E189" s="23">
        <v>942.5</v>
      </c>
      <c r="F189" s="22"/>
      <c r="G189" s="23">
        <f t="shared" si="81"/>
        <v>942.5</v>
      </c>
      <c r="H189" s="23"/>
      <c r="I189" s="23">
        <f>G189*0.1</f>
        <v>94.25</v>
      </c>
      <c r="J189" s="23"/>
      <c r="K189" s="23"/>
      <c r="L189" s="23"/>
      <c r="M189" s="23"/>
      <c r="N189" s="23"/>
      <c r="O189" s="23"/>
      <c r="P189" s="23">
        <f>8000*0.25-G189</f>
        <v>1057.5</v>
      </c>
      <c r="Q189" s="23"/>
      <c r="R189" s="23">
        <f>E189+I189+P189</f>
        <v>2094.25</v>
      </c>
      <c r="S189" s="25">
        <f>R189*5</f>
        <v>10471.25</v>
      </c>
    </row>
    <row r="190" spans="1:20" s="38" customFormat="1" x14ac:dyDescent="0.25">
      <c r="A190" s="20" t="s">
        <v>266</v>
      </c>
      <c r="B190" s="21" t="s">
        <v>267</v>
      </c>
      <c r="C190" s="22">
        <v>0.25</v>
      </c>
      <c r="D190" s="22">
        <v>1</v>
      </c>
      <c r="E190" s="23">
        <v>798.75</v>
      </c>
      <c r="F190" s="22"/>
      <c r="G190" s="23">
        <f t="shared" si="81"/>
        <v>798.75</v>
      </c>
      <c r="H190" s="23"/>
      <c r="I190" s="23"/>
      <c r="J190" s="23"/>
      <c r="K190" s="23"/>
      <c r="L190" s="23"/>
      <c r="M190" s="23"/>
      <c r="N190" s="23"/>
      <c r="O190" s="23"/>
      <c r="P190" s="23">
        <f>8000*0.25-G190</f>
        <v>1201.25</v>
      </c>
      <c r="Q190" s="23"/>
      <c r="R190" s="23">
        <f>E190+P190</f>
        <v>2000</v>
      </c>
      <c r="S190" s="25">
        <f>R190*3</f>
        <v>6000</v>
      </c>
    </row>
    <row r="191" spans="1:20" s="27" customFormat="1" ht="24" customHeight="1" thickBot="1" x14ac:dyDescent="0.3">
      <c r="A191" s="112"/>
      <c r="B191" s="113" t="s">
        <v>59</v>
      </c>
      <c r="C191" s="114">
        <f>C188+C189+C190</f>
        <v>1</v>
      </c>
      <c r="D191" s="114"/>
      <c r="E191" s="115">
        <f>E188+E189+E190</f>
        <v>4648.75</v>
      </c>
      <c r="F191" s="114"/>
      <c r="G191" s="115">
        <f t="shared" si="81"/>
        <v>4648.75</v>
      </c>
      <c r="H191" s="115"/>
      <c r="I191" s="115">
        <f>SUM(I189)</f>
        <v>94.25</v>
      </c>
      <c r="J191" s="115"/>
      <c r="K191" s="115">
        <f>SUM(K188:K189)</f>
        <v>872.25</v>
      </c>
      <c r="L191" s="115">
        <f>SUM(L188:L189)</f>
        <v>2970.25</v>
      </c>
      <c r="M191" s="115"/>
      <c r="N191" s="115"/>
      <c r="O191" s="115"/>
      <c r="P191" s="115">
        <f>P189+P190</f>
        <v>2258.75</v>
      </c>
      <c r="Q191" s="115"/>
      <c r="R191" s="115">
        <f>SUM(R188:R190)</f>
        <v>10844.25</v>
      </c>
      <c r="S191" s="116">
        <f>SUM(S188:S190)</f>
        <v>50221.25</v>
      </c>
    </row>
    <row r="192" spans="1:20" s="13" customFormat="1" ht="20.399999999999999" customHeight="1" x14ac:dyDescent="0.2">
      <c r="A192" s="18"/>
      <c r="B192" s="55" t="s">
        <v>268</v>
      </c>
      <c r="C192" s="85"/>
      <c r="D192" s="85"/>
      <c r="E192" s="94"/>
      <c r="F192" s="85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110"/>
    </row>
    <row r="193" spans="1:20" x14ac:dyDescent="0.25">
      <c r="A193" s="20" t="s">
        <v>269</v>
      </c>
      <c r="B193" s="21" t="s">
        <v>220</v>
      </c>
      <c r="C193" s="22">
        <v>0.5</v>
      </c>
      <c r="D193" s="22">
        <v>9</v>
      </c>
      <c r="E193" s="23">
        <v>2763.5</v>
      </c>
      <c r="F193" s="22"/>
      <c r="G193" s="23">
        <f t="shared" ref="G193:G196" si="82">E193+F193</f>
        <v>2763.5</v>
      </c>
      <c r="H193" s="23"/>
      <c r="I193" s="23"/>
      <c r="J193" s="23"/>
      <c r="K193" s="23">
        <f>G193*0.3</f>
        <v>829.05</v>
      </c>
      <c r="L193" s="23">
        <f>6750-G193-K193</f>
        <v>3157.45</v>
      </c>
      <c r="M193" s="23"/>
      <c r="N193" s="23"/>
      <c r="O193" s="23"/>
      <c r="P193" s="23"/>
      <c r="Q193" s="23"/>
      <c r="R193" s="23">
        <f>G193+K193+L193</f>
        <v>6750</v>
      </c>
      <c r="S193" s="25">
        <f>R193*5</f>
        <v>33750</v>
      </c>
    </row>
    <row r="194" spans="1:20" x14ac:dyDescent="0.25">
      <c r="A194" s="20" t="s">
        <v>270</v>
      </c>
      <c r="B194" s="21" t="s">
        <v>134</v>
      </c>
      <c r="C194" s="22">
        <v>0.25</v>
      </c>
      <c r="D194" s="22">
        <v>3</v>
      </c>
      <c r="E194" s="23">
        <v>942.5</v>
      </c>
      <c r="F194" s="22"/>
      <c r="G194" s="23">
        <f t="shared" si="82"/>
        <v>942.5</v>
      </c>
      <c r="H194" s="23"/>
      <c r="I194" s="23">
        <f>G194*0.1</f>
        <v>94.25</v>
      </c>
      <c r="J194" s="23"/>
      <c r="K194" s="23"/>
      <c r="L194" s="23"/>
      <c r="M194" s="23"/>
      <c r="N194" s="23"/>
      <c r="O194" s="23"/>
      <c r="P194" s="23">
        <f>8000*0.25-G194</f>
        <v>1057.5</v>
      </c>
      <c r="Q194" s="23"/>
      <c r="R194" s="23">
        <f>E194+I194+P194</f>
        <v>2094.25</v>
      </c>
      <c r="S194" s="25">
        <f>R194*5</f>
        <v>10471.25</v>
      </c>
    </row>
    <row r="195" spans="1:20" s="38" customFormat="1" x14ac:dyDescent="0.25">
      <c r="A195" s="20" t="s">
        <v>271</v>
      </c>
      <c r="B195" s="21" t="s">
        <v>227</v>
      </c>
      <c r="C195" s="22">
        <v>0.5</v>
      </c>
      <c r="D195" s="22">
        <v>1</v>
      </c>
      <c r="E195" s="23">
        <v>1597.5</v>
      </c>
      <c r="F195" s="22"/>
      <c r="G195" s="23">
        <f t="shared" si="82"/>
        <v>1597.5</v>
      </c>
      <c r="H195" s="23"/>
      <c r="I195" s="23"/>
      <c r="J195" s="23"/>
      <c r="K195" s="23"/>
      <c r="L195" s="23"/>
      <c r="M195" s="23"/>
      <c r="N195" s="23"/>
      <c r="O195" s="23"/>
      <c r="P195" s="23">
        <f>8000/2-G195</f>
        <v>2402.5</v>
      </c>
      <c r="Q195" s="23"/>
      <c r="R195" s="23">
        <f>E195+P195</f>
        <v>4000</v>
      </c>
      <c r="S195" s="25">
        <f>R195*3</f>
        <v>12000</v>
      </c>
    </row>
    <row r="196" spans="1:20" s="27" customFormat="1" ht="27.6" customHeight="1" thickBot="1" x14ac:dyDescent="0.3">
      <c r="A196" s="64"/>
      <c r="B196" s="47" t="s">
        <v>59</v>
      </c>
      <c r="C196" s="34">
        <f>C193+C194+C195</f>
        <v>1.25</v>
      </c>
      <c r="D196" s="34"/>
      <c r="E196" s="35">
        <f>E193+E194+E195</f>
        <v>5303.5</v>
      </c>
      <c r="F196" s="34"/>
      <c r="G196" s="35">
        <f t="shared" si="82"/>
        <v>5303.5</v>
      </c>
      <c r="H196" s="35"/>
      <c r="I196" s="35">
        <f>SUM(I193:I194)</f>
        <v>94.25</v>
      </c>
      <c r="J196" s="35"/>
      <c r="K196" s="35">
        <f>SUM(K193:K195)</f>
        <v>829.05</v>
      </c>
      <c r="L196" s="35">
        <f>SUM(L192:L194)</f>
        <v>3157.45</v>
      </c>
      <c r="M196" s="35"/>
      <c r="N196" s="35"/>
      <c r="O196" s="35"/>
      <c r="P196" s="35">
        <f>P194+P195</f>
        <v>3460</v>
      </c>
      <c r="Q196" s="35"/>
      <c r="R196" s="35">
        <f>SUM(R193:R195)</f>
        <v>12844.25</v>
      </c>
      <c r="S196" s="36">
        <f>SUM(S193:S195)</f>
        <v>56221.25</v>
      </c>
    </row>
    <row r="197" spans="1:20" ht="22.8" customHeight="1" x14ac:dyDescent="0.25">
      <c r="A197" s="57"/>
      <c r="B197" s="111" t="s">
        <v>272</v>
      </c>
      <c r="C197" s="91"/>
      <c r="D197" s="91"/>
      <c r="E197" s="51"/>
      <c r="F197" s="9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97"/>
      <c r="T197" s="65"/>
    </row>
    <row r="198" spans="1:20" x14ac:dyDescent="0.25">
      <c r="A198" s="20" t="s">
        <v>273</v>
      </c>
      <c r="B198" s="21" t="s">
        <v>130</v>
      </c>
      <c r="C198" s="22">
        <v>1</v>
      </c>
      <c r="D198" s="22">
        <v>10</v>
      </c>
      <c r="E198" s="23">
        <v>5815</v>
      </c>
      <c r="F198" s="22"/>
      <c r="G198" s="23">
        <f t="shared" ref="G198:G201" si="83">E198+F198</f>
        <v>5815</v>
      </c>
      <c r="H198" s="23"/>
      <c r="I198" s="23"/>
      <c r="J198" s="23"/>
      <c r="K198" s="23">
        <f>G198*0.3</f>
        <v>1744.5</v>
      </c>
      <c r="L198" s="23">
        <f>13500-G198-K198</f>
        <v>5940.5</v>
      </c>
      <c r="M198" s="23"/>
      <c r="N198" s="23"/>
      <c r="O198" s="23"/>
      <c r="P198" s="23"/>
      <c r="Q198" s="23"/>
      <c r="R198" s="23">
        <f>G198+K198+L198</f>
        <v>13500</v>
      </c>
      <c r="S198" s="25">
        <f>R198*5</f>
        <v>67500</v>
      </c>
    </row>
    <row r="199" spans="1:20" x14ac:dyDescent="0.25">
      <c r="A199" s="20" t="s">
        <v>274</v>
      </c>
      <c r="B199" s="21" t="s">
        <v>134</v>
      </c>
      <c r="C199" s="22">
        <v>0.25</v>
      </c>
      <c r="D199" s="22">
        <v>3</v>
      </c>
      <c r="E199" s="23">
        <v>942.5</v>
      </c>
      <c r="F199" s="22"/>
      <c r="G199" s="23">
        <f t="shared" si="83"/>
        <v>942.5</v>
      </c>
      <c r="H199" s="23"/>
      <c r="I199" s="23">
        <f>G199*0.1</f>
        <v>94.25</v>
      </c>
      <c r="J199" s="23"/>
      <c r="K199" s="23"/>
      <c r="L199" s="23"/>
      <c r="M199" s="23"/>
      <c r="N199" s="23"/>
      <c r="O199" s="23"/>
      <c r="P199" s="23">
        <f>8000*0.25-G199</f>
        <v>1057.5</v>
      </c>
      <c r="Q199" s="23"/>
      <c r="R199" s="23">
        <f>E199+I199+P199</f>
        <v>2094.25</v>
      </c>
      <c r="S199" s="25">
        <f>R199*5</f>
        <v>10471.25</v>
      </c>
    </row>
    <row r="200" spans="1:20" s="38" customFormat="1" x14ac:dyDescent="0.25">
      <c r="A200" s="20" t="s">
        <v>275</v>
      </c>
      <c r="B200" s="21" t="s">
        <v>267</v>
      </c>
      <c r="C200" s="22">
        <v>0.25</v>
      </c>
      <c r="D200" s="22">
        <v>1</v>
      </c>
      <c r="E200" s="23">
        <v>798.75</v>
      </c>
      <c r="F200" s="22"/>
      <c r="G200" s="23">
        <f t="shared" si="83"/>
        <v>798.75</v>
      </c>
      <c r="H200" s="23"/>
      <c r="I200" s="23"/>
      <c r="J200" s="23"/>
      <c r="K200" s="23"/>
      <c r="L200" s="23"/>
      <c r="M200" s="23"/>
      <c r="N200" s="23"/>
      <c r="O200" s="23"/>
      <c r="P200" s="23">
        <f>8000*0.25-G200</f>
        <v>1201.25</v>
      </c>
      <c r="Q200" s="23"/>
      <c r="R200" s="23">
        <f>E200+P200</f>
        <v>2000</v>
      </c>
      <c r="S200" s="25">
        <f>R200*3</f>
        <v>6000</v>
      </c>
    </row>
    <row r="201" spans="1:20" s="27" customFormat="1" ht="26.4" customHeight="1" thickBot="1" x14ac:dyDescent="0.3">
      <c r="A201" s="64"/>
      <c r="B201" s="47" t="s">
        <v>59</v>
      </c>
      <c r="C201" s="34">
        <f>SUM(C198:C200)</f>
        <v>1.5</v>
      </c>
      <c r="D201" s="34"/>
      <c r="E201" s="35">
        <f>SUM(E198:E200)</f>
        <v>7556.25</v>
      </c>
      <c r="F201" s="34">
        <f>SUM(F198:F200)</f>
        <v>0</v>
      </c>
      <c r="G201" s="35">
        <f t="shared" si="83"/>
        <v>7556.25</v>
      </c>
      <c r="H201" s="35"/>
      <c r="I201" s="35">
        <f>SUM(I199:I200)</f>
        <v>94.25</v>
      </c>
      <c r="J201" s="35"/>
      <c r="K201" s="35">
        <f>SUM(K198:K200)</f>
        <v>1744.5</v>
      </c>
      <c r="L201" s="35">
        <f>SUM(L198:L200)</f>
        <v>5940.5</v>
      </c>
      <c r="M201" s="35"/>
      <c r="N201" s="35"/>
      <c r="O201" s="35"/>
      <c r="P201" s="35">
        <f>P199+P200</f>
        <v>2258.75</v>
      </c>
      <c r="Q201" s="35"/>
      <c r="R201" s="35">
        <f>SUM(R198:R200)</f>
        <v>17594.25</v>
      </c>
      <c r="S201" s="36">
        <f>SUM(S198:S200)</f>
        <v>83971.25</v>
      </c>
    </row>
    <row r="202" spans="1:20" ht="22.2" customHeight="1" x14ac:dyDescent="0.25">
      <c r="A202" s="15"/>
      <c r="B202" s="55" t="s">
        <v>276</v>
      </c>
      <c r="C202" s="85"/>
      <c r="D202" s="85"/>
      <c r="E202" s="94"/>
      <c r="F202" s="85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110"/>
    </row>
    <row r="203" spans="1:20" x14ac:dyDescent="0.25">
      <c r="A203" s="20" t="s">
        <v>277</v>
      </c>
      <c r="B203" s="21" t="s">
        <v>220</v>
      </c>
      <c r="C203" s="22">
        <v>1</v>
      </c>
      <c r="D203" s="22">
        <v>10</v>
      </c>
      <c r="E203" s="23">
        <v>5815</v>
      </c>
      <c r="F203" s="22"/>
      <c r="G203" s="23">
        <f t="shared" ref="G203:G206" si="84">E203+F203</f>
        <v>5815</v>
      </c>
      <c r="H203" s="23"/>
      <c r="I203" s="23"/>
      <c r="J203" s="23"/>
      <c r="K203" s="23">
        <f>G203*0.3</f>
        <v>1744.5</v>
      </c>
      <c r="L203" s="23">
        <f>13500-G203-K203</f>
        <v>5940.5</v>
      </c>
      <c r="M203" s="23"/>
      <c r="N203" s="23"/>
      <c r="O203" s="23"/>
      <c r="P203" s="23"/>
      <c r="Q203" s="23"/>
      <c r="R203" s="23">
        <f>G203+K203+L203</f>
        <v>13500</v>
      </c>
      <c r="S203" s="25">
        <f>R203*5</f>
        <v>67500</v>
      </c>
    </row>
    <row r="204" spans="1:20" x14ac:dyDescent="0.25">
      <c r="A204" s="20" t="s">
        <v>278</v>
      </c>
      <c r="B204" s="21" t="s">
        <v>134</v>
      </c>
      <c r="C204" s="22">
        <v>0.25</v>
      </c>
      <c r="D204" s="22">
        <v>3</v>
      </c>
      <c r="E204" s="23">
        <v>942.5</v>
      </c>
      <c r="F204" s="22"/>
      <c r="G204" s="23">
        <f t="shared" si="84"/>
        <v>942.5</v>
      </c>
      <c r="H204" s="23"/>
      <c r="I204" s="23">
        <f>G204*0.1</f>
        <v>94.25</v>
      </c>
      <c r="J204" s="23"/>
      <c r="K204" s="23"/>
      <c r="L204" s="23"/>
      <c r="M204" s="23"/>
      <c r="N204" s="23"/>
      <c r="O204" s="23"/>
      <c r="P204" s="23">
        <f>8000*0.25-G204</f>
        <v>1057.5</v>
      </c>
      <c r="Q204" s="23"/>
      <c r="R204" s="23">
        <f>E204+I204+P204</f>
        <v>2094.25</v>
      </c>
      <c r="S204" s="25">
        <f>R204*5</f>
        <v>10471.25</v>
      </c>
    </row>
    <row r="205" spans="1:20" s="38" customFormat="1" x14ac:dyDescent="0.25">
      <c r="A205" s="20" t="s">
        <v>279</v>
      </c>
      <c r="B205" s="21" t="s">
        <v>267</v>
      </c>
      <c r="C205" s="22">
        <v>0.25</v>
      </c>
      <c r="D205" s="22">
        <v>1</v>
      </c>
      <c r="E205" s="23">
        <v>798.75</v>
      </c>
      <c r="F205" s="22"/>
      <c r="G205" s="23">
        <f t="shared" si="84"/>
        <v>798.75</v>
      </c>
      <c r="H205" s="23"/>
      <c r="I205" s="23"/>
      <c r="J205" s="23"/>
      <c r="K205" s="23"/>
      <c r="L205" s="23"/>
      <c r="M205" s="23"/>
      <c r="N205" s="23"/>
      <c r="O205" s="23"/>
      <c r="P205" s="23">
        <f>8000*0.25-G205</f>
        <v>1201.25</v>
      </c>
      <c r="Q205" s="23"/>
      <c r="R205" s="23">
        <f>E205+P205</f>
        <v>2000</v>
      </c>
      <c r="S205" s="25">
        <f>R205*3</f>
        <v>6000</v>
      </c>
    </row>
    <row r="206" spans="1:20" s="27" customFormat="1" ht="28.2" customHeight="1" thickBot="1" x14ac:dyDescent="0.3">
      <c r="A206" s="64"/>
      <c r="B206" s="47" t="s">
        <v>59</v>
      </c>
      <c r="C206" s="34">
        <f>SUM(C203:C205)</f>
        <v>1.5</v>
      </c>
      <c r="D206" s="34"/>
      <c r="E206" s="35">
        <f>SUM(E203:E205)</f>
        <v>7556.25</v>
      </c>
      <c r="F206" s="34">
        <f>SUM(F203:F205)</f>
        <v>0</v>
      </c>
      <c r="G206" s="35">
        <f t="shared" si="84"/>
        <v>7556.25</v>
      </c>
      <c r="H206" s="35"/>
      <c r="I206" s="35">
        <f>SUM(I204:I205)</f>
        <v>94.25</v>
      </c>
      <c r="J206" s="35"/>
      <c r="K206" s="35">
        <f>K203</f>
        <v>1744.5</v>
      </c>
      <c r="L206" s="35">
        <f>SUM(L203:L205)</f>
        <v>5940.5</v>
      </c>
      <c r="M206" s="35"/>
      <c r="N206" s="35"/>
      <c r="O206" s="35"/>
      <c r="P206" s="35">
        <f>P204+P205</f>
        <v>2258.75</v>
      </c>
      <c r="Q206" s="35"/>
      <c r="R206" s="35">
        <f>SUM(R203:R205)</f>
        <v>17594.25</v>
      </c>
      <c r="S206" s="36">
        <f>SUM(S203:S205)</f>
        <v>83971.25</v>
      </c>
    </row>
    <row r="207" spans="1:20" ht="24" customHeight="1" x14ac:dyDescent="0.25">
      <c r="A207" s="15"/>
      <c r="B207" s="55" t="s">
        <v>280</v>
      </c>
      <c r="C207" s="85"/>
      <c r="D207" s="85"/>
      <c r="E207" s="94"/>
      <c r="F207" s="85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110"/>
    </row>
    <row r="208" spans="1:20" x14ac:dyDescent="0.25">
      <c r="A208" s="20" t="s">
        <v>281</v>
      </c>
      <c r="B208" s="21" t="s">
        <v>130</v>
      </c>
      <c r="C208" s="22">
        <v>0.5</v>
      </c>
      <c r="D208" s="22">
        <v>8</v>
      </c>
      <c r="E208" s="23">
        <v>2620</v>
      </c>
      <c r="F208" s="22"/>
      <c r="G208" s="23">
        <f t="shared" ref="G208:G210" si="85">E208+F208</f>
        <v>2620</v>
      </c>
      <c r="H208" s="23"/>
      <c r="I208" s="23"/>
      <c r="J208" s="23"/>
      <c r="K208" s="23">
        <f>G208*0.3</f>
        <v>786</v>
      </c>
      <c r="L208" s="23">
        <f>R208-K208-G208</f>
        <v>3344</v>
      </c>
      <c r="M208" s="23"/>
      <c r="N208" s="23"/>
      <c r="O208" s="23"/>
      <c r="P208" s="23"/>
      <c r="Q208" s="23"/>
      <c r="R208" s="23">
        <v>6750</v>
      </c>
      <c r="S208" s="25">
        <f>R208*5</f>
        <v>33750</v>
      </c>
    </row>
    <row r="209" spans="1:20" s="38" customFormat="1" x14ac:dyDescent="0.25">
      <c r="A209" s="20" t="s">
        <v>282</v>
      </c>
      <c r="B209" s="21" t="s">
        <v>134</v>
      </c>
      <c r="C209" s="22">
        <v>0.5</v>
      </c>
      <c r="D209" s="22">
        <v>3</v>
      </c>
      <c r="E209" s="23">
        <v>1885</v>
      </c>
      <c r="F209" s="22"/>
      <c r="G209" s="23">
        <f t="shared" si="85"/>
        <v>1885</v>
      </c>
      <c r="H209" s="23"/>
      <c r="I209" s="23">
        <f>G209*0.1</f>
        <v>188.5</v>
      </c>
      <c r="J209" s="23"/>
      <c r="K209" s="23"/>
      <c r="L209" s="23"/>
      <c r="M209" s="23"/>
      <c r="N209" s="23"/>
      <c r="O209" s="23"/>
      <c r="P209" s="23">
        <f>8000/2-G209</f>
        <v>2115</v>
      </c>
      <c r="Q209" s="23"/>
      <c r="R209" s="23">
        <f>SUM(G209:Q209)</f>
        <v>4188.5</v>
      </c>
      <c r="S209" s="25">
        <f>R209*5</f>
        <v>20942.5</v>
      </c>
    </row>
    <row r="210" spans="1:20" s="27" customFormat="1" ht="25.8" customHeight="1" thickBot="1" x14ac:dyDescent="0.3">
      <c r="A210" s="64"/>
      <c r="B210" s="47" t="s">
        <v>59</v>
      </c>
      <c r="C210" s="34">
        <f>SUM(C208:C209)</f>
        <v>1</v>
      </c>
      <c r="D210" s="34"/>
      <c r="E210" s="35">
        <f>SUM(E208:E209)</f>
        <v>4505</v>
      </c>
      <c r="F210" s="34">
        <f>SUM(F208:F209)</f>
        <v>0</v>
      </c>
      <c r="G210" s="35">
        <f t="shared" si="85"/>
        <v>4505</v>
      </c>
      <c r="H210" s="35"/>
      <c r="I210" s="35">
        <f>SUM(I209)</f>
        <v>188.5</v>
      </c>
      <c r="J210" s="35"/>
      <c r="K210" s="35">
        <f>SUM(K208:K209)</f>
        <v>786</v>
      </c>
      <c r="L210" s="35">
        <f>SUM(L208:L209)</f>
        <v>3344</v>
      </c>
      <c r="M210" s="35"/>
      <c r="N210" s="35"/>
      <c r="O210" s="35"/>
      <c r="P210" s="35">
        <f>SUM(P209)</f>
        <v>2115</v>
      </c>
      <c r="Q210" s="35"/>
      <c r="R210" s="35">
        <f>SUM(R208:R209)</f>
        <v>10938.5</v>
      </c>
      <c r="S210" s="36">
        <f>SUM(S208:S209)</f>
        <v>54692.5</v>
      </c>
    </row>
    <row r="211" spans="1:20" ht="22.2" customHeight="1" x14ac:dyDescent="0.25">
      <c r="A211" s="15"/>
      <c r="B211" s="55" t="s">
        <v>283</v>
      </c>
      <c r="C211" s="85"/>
      <c r="D211" s="85"/>
      <c r="E211" s="94"/>
      <c r="F211" s="85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110"/>
    </row>
    <row r="212" spans="1:20" s="13" customFormat="1" x14ac:dyDescent="0.25">
      <c r="A212" s="20" t="s">
        <v>284</v>
      </c>
      <c r="B212" s="66" t="s">
        <v>130</v>
      </c>
      <c r="C212" s="22">
        <v>0.5</v>
      </c>
      <c r="D212" s="22">
        <v>10</v>
      </c>
      <c r="E212" s="23">
        <v>2907.5</v>
      </c>
      <c r="F212" s="22"/>
      <c r="G212" s="23">
        <f t="shared" ref="G212:G215" si="86">E212+F212</f>
        <v>2907.5</v>
      </c>
      <c r="H212" s="23"/>
      <c r="I212" s="23"/>
      <c r="J212" s="23"/>
      <c r="K212" s="23">
        <f>G212*0.3</f>
        <v>872.25</v>
      </c>
      <c r="L212" s="23">
        <f>13500/2-G212-K212</f>
        <v>2970.25</v>
      </c>
      <c r="M212" s="23"/>
      <c r="N212" s="23"/>
      <c r="O212" s="23"/>
      <c r="P212" s="23"/>
      <c r="Q212" s="23"/>
      <c r="R212" s="23">
        <f>G212+K212+L212</f>
        <v>6750</v>
      </c>
      <c r="S212" s="25">
        <f>R212*5</f>
        <v>33750</v>
      </c>
    </row>
    <row r="213" spans="1:20" x14ac:dyDescent="0.25">
      <c r="A213" s="20" t="s">
        <v>285</v>
      </c>
      <c r="B213" s="21" t="s">
        <v>134</v>
      </c>
      <c r="C213" s="22">
        <v>0.5</v>
      </c>
      <c r="D213" s="22">
        <v>3</v>
      </c>
      <c r="E213" s="23">
        <v>1885</v>
      </c>
      <c r="F213" s="22"/>
      <c r="G213" s="23">
        <f t="shared" si="86"/>
        <v>1885</v>
      </c>
      <c r="H213" s="23"/>
      <c r="I213" s="23">
        <f>G213*0.1</f>
        <v>188.5</v>
      </c>
      <c r="J213" s="23"/>
      <c r="K213" s="23"/>
      <c r="L213" s="23"/>
      <c r="M213" s="23"/>
      <c r="N213" s="23"/>
      <c r="O213" s="23"/>
      <c r="P213" s="23">
        <f>8000/2-G213</f>
        <v>2115</v>
      </c>
      <c r="Q213" s="23"/>
      <c r="R213" s="23">
        <f>SUM(G213:Q213)</f>
        <v>4188.5</v>
      </c>
      <c r="S213" s="25">
        <f>R213*5</f>
        <v>20942.5</v>
      </c>
    </row>
    <row r="214" spans="1:20" x14ac:dyDescent="0.25">
      <c r="A214" s="20" t="s">
        <v>286</v>
      </c>
      <c r="B214" s="21" t="s">
        <v>227</v>
      </c>
      <c r="C214" s="22">
        <v>1</v>
      </c>
      <c r="D214" s="22">
        <v>1</v>
      </c>
      <c r="E214" s="23">
        <v>3195</v>
      </c>
      <c r="F214" s="22"/>
      <c r="G214" s="23">
        <f t="shared" si="86"/>
        <v>3195</v>
      </c>
      <c r="H214" s="23"/>
      <c r="I214" s="23"/>
      <c r="J214" s="23"/>
      <c r="K214" s="23"/>
      <c r="L214" s="23"/>
      <c r="M214" s="23"/>
      <c r="N214" s="23"/>
      <c r="O214" s="23"/>
      <c r="P214" s="23">
        <f>8000-G214</f>
        <v>4805</v>
      </c>
      <c r="Q214" s="23"/>
      <c r="R214" s="23">
        <f>E214+P214</f>
        <v>8000</v>
      </c>
      <c r="S214" s="25">
        <f>R214*3</f>
        <v>24000</v>
      </c>
    </row>
    <row r="215" spans="1:20" s="49" customFormat="1" ht="26.4" customHeight="1" thickBot="1" x14ac:dyDescent="0.3">
      <c r="A215" s="118"/>
      <c r="B215" s="47" t="s">
        <v>59</v>
      </c>
      <c r="C215" s="34">
        <f>SUM(C212:C214)</f>
        <v>2</v>
      </c>
      <c r="D215" s="34"/>
      <c r="E215" s="35">
        <f>SUM(E212:E214)</f>
        <v>7987.5</v>
      </c>
      <c r="F215" s="34">
        <f>SUM(F212:F214)</f>
        <v>0</v>
      </c>
      <c r="G215" s="35">
        <f t="shared" si="86"/>
        <v>7987.5</v>
      </c>
      <c r="H215" s="35"/>
      <c r="I215" s="35">
        <f>SUM(I213:I214)</f>
        <v>188.5</v>
      </c>
      <c r="J215" s="35"/>
      <c r="K215" s="35">
        <f>SUM(K212:K214)</f>
        <v>872.25</v>
      </c>
      <c r="L215" s="35">
        <f>SUM(L212:L214)</f>
        <v>2970.25</v>
      </c>
      <c r="M215" s="35"/>
      <c r="N215" s="35"/>
      <c r="O215" s="35"/>
      <c r="P215" s="35">
        <f>P213+P214</f>
        <v>6920</v>
      </c>
      <c r="Q215" s="35"/>
      <c r="R215" s="35">
        <f>SUM(R212:R214)</f>
        <v>18938.5</v>
      </c>
      <c r="S215" s="36">
        <f>SUM(S212:S214)</f>
        <v>78692.5</v>
      </c>
    </row>
    <row r="216" spans="1:20" ht="21" customHeight="1" x14ac:dyDescent="0.25">
      <c r="A216" s="15"/>
      <c r="B216" s="55" t="s">
        <v>287</v>
      </c>
      <c r="C216" s="85"/>
      <c r="D216" s="85"/>
      <c r="E216" s="94"/>
      <c r="F216" s="85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110"/>
    </row>
    <row r="217" spans="1:20" ht="25.2" customHeight="1" x14ac:dyDescent="0.25">
      <c r="A217" s="20" t="s">
        <v>288</v>
      </c>
      <c r="B217" s="21" t="s">
        <v>220</v>
      </c>
      <c r="C217" s="22">
        <v>1</v>
      </c>
      <c r="D217" s="22">
        <v>10</v>
      </c>
      <c r="E217" s="23">
        <v>5815</v>
      </c>
      <c r="F217" s="22"/>
      <c r="G217" s="23">
        <f t="shared" ref="G217:G221" si="87">E217+F217</f>
        <v>5815</v>
      </c>
      <c r="H217" s="23"/>
      <c r="I217" s="23"/>
      <c r="J217" s="23"/>
      <c r="K217" s="23">
        <f>G217*0.3</f>
        <v>1744.5</v>
      </c>
      <c r="L217" s="23">
        <f>R217-K217-G217</f>
        <v>5940.5</v>
      </c>
      <c r="M217" s="23"/>
      <c r="N217" s="23"/>
      <c r="O217" s="23"/>
      <c r="P217" s="23"/>
      <c r="Q217" s="23"/>
      <c r="R217" s="23">
        <v>13500</v>
      </c>
      <c r="S217" s="25">
        <f>R217*5</f>
        <v>67500</v>
      </c>
    </row>
    <row r="218" spans="1:20" ht="24" customHeight="1" x14ac:dyDescent="0.25">
      <c r="A218" s="20" t="s">
        <v>289</v>
      </c>
      <c r="B218" s="21" t="s">
        <v>130</v>
      </c>
      <c r="C218" s="22">
        <v>1</v>
      </c>
      <c r="D218" s="22">
        <v>7</v>
      </c>
      <c r="E218" s="23">
        <v>4920</v>
      </c>
      <c r="F218" s="22"/>
      <c r="G218" s="23">
        <f t="shared" si="87"/>
        <v>4920</v>
      </c>
      <c r="H218" s="23"/>
      <c r="I218" s="23">
        <f>G218*0.1</f>
        <v>492</v>
      </c>
      <c r="J218" s="23"/>
      <c r="K218" s="23">
        <f>G218*0.3</f>
        <v>1476</v>
      </c>
      <c r="L218" s="23">
        <f>13500-G218-I218-K218</f>
        <v>6612</v>
      </c>
      <c r="M218" s="23"/>
      <c r="N218" s="23"/>
      <c r="O218" s="23"/>
      <c r="P218" s="23"/>
      <c r="Q218" s="23"/>
      <c r="R218" s="23">
        <f>G218+I218+K218+L218</f>
        <v>13500</v>
      </c>
      <c r="S218" s="25">
        <f t="shared" ref="S218:S219" si="88">R218*5</f>
        <v>67500</v>
      </c>
    </row>
    <row r="219" spans="1:20" ht="25.2" customHeight="1" x14ac:dyDescent="0.25">
      <c r="A219" s="20" t="s">
        <v>290</v>
      </c>
      <c r="B219" s="21" t="s">
        <v>134</v>
      </c>
      <c r="C219" s="22">
        <v>1</v>
      </c>
      <c r="D219" s="22">
        <v>3</v>
      </c>
      <c r="E219" s="23">
        <v>3770</v>
      </c>
      <c r="F219" s="22"/>
      <c r="G219" s="23">
        <f t="shared" si="87"/>
        <v>3770</v>
      </c>
      <c r="H219" s="23"/>
      <c r="I219" s="23">
        <f>G219*0.1</f>
        <v>377</v>
      </c>
      <c r="J219" s="23"/>
      <c r="K219" s="23"/>
      <c r="L219" s="23"/>
      <c r="M219" s="23"/>
      <c r="N219" s="23"/>
      <c r="O219" s="23"/>
      <c r="P219" s="23">
        <f>8000-G219</f>
        <v>4230</v>
      </c>
      <c r="Q219" s="23"/>
      <c r="R219" s="23">
        <f>SUM(G219:Q219)</f>
        <v>8377</v>
      </c>
      <c r="S219" s="25">
        <f t="shared" si="88"/>
        <v>41885</v>
      </c>
    </row>
    <row r="220" spans="1:20" ht="31.8" customHeight="1" x14ac:dyDescent="0.25">
      <c r="A220" s="20" t="s">
        <v>291</v>
      </c>
      <c r="B220" s="21" t="s">
        <v>227</v>
      </c>
      <c r="C220" s="22">
        <v>1.5</v>
      </c>
      <c r="D220" s="22">
        <v>1</v>
      </c>
      <c r="E220" s="23">
        <f>3195*C220</f>
        <v>4792.5</v>
      </c>
      <c r="F220" s="22"/>
      <c r="G220" s="23">
        <f t="shared" si="87"/>
        <v>4792.5</v>
      </c>
      <c r="H220" s="23"/>
      <c r="I220" s="23"/>
      <c r="J220" s="23"/>
      <c r="K220" s="23"/>
      <c r="L220" s="23"/>
      <c r="M220" s="23"/>
      <c r="N220" s="23"/>
      <c r="O220" s="23"/>
      <c r="P220" s="23">
        <f>8000*C220-G220</f>
        <v>7207.5</v>
      </c>
      <c r="Q220" s="23"/>
      <c r="R220" s="23">
        <f>E220+P220</f>
        <v>12000</v>
      </c>
      <c r="S220" s="25">
        <f>R220*3</f>
        <v>36000</v>
      </c>
    </row>
    <row r="221" spans="1:20" s="27" customFormat="1" ht="26.4" customHeight="1" thickBot="1" x14ac:dyDescent="0.3">
      <c r="A221" s="64"/>
      <c r="B221" s="47" t="s">
        <v>59</v>
      </c>
      <c r="C221" s="34">
        <f>SUM(C217:C220)</f>
        <v>4.5</v>
      </c>
      <c r="D221" s="34"/>
      <c r="E221" s="35">
        <f>SUM(E217:E220)</f>
        <v>19297.5</v>
      </c>
      <c r="F221" s="34">
        <f>SUM(F217:F220)</f>
        <v>0</v>
      </c>
      <c r="G221" s="35">
        <f t="shared" si="87"/>
        <v>19297.5</v>
      </c>
      <c r="H221" s="35"/>
      <c r="I221" s="35">
        <f>SUM(I218:I220)</f>
        <v>869</v>
      </c>
      <c r="J221" s="35"/>
      <c r="K221" s="35">
        <f>K217+K218</f>
        <v>3220.5</v>
      </c>
      <c r="L221" s="35">
        <f>L217+L218</f>
        <v>12552.5</v>
      </c>
      <c r="M221" s="35"/>
      <c r="N221" s="35"/>
      <c r="O221" s="35"/>
      <c r="P221" s="35">
        <f>SUM(P217:P220)</f>
        <v>11437.5</v>
      </c>
      <c r="Q221" s="35"/>
      <c r="R221" s="35">
        <f>SUM(R217:R220)</f>
        <v>47377</v>
      </c>
      <c r="S221" s="36">
        <f>SUM(S217:S220)</f>
        <v>212885</v>
      </c>
    </row>
    <row r="222" spans="1:20" s="13" customFormat="1" ht="22.2" customHeight="1" x14ac:dyDescent="0.2">
      <c r="A222" s="18"/>
      <c r="B222" s="55" t="s">
        <v>292</v>
      </c>
      <c r="C222" s="85"/>
      <c r="D222" s="85"/>
      <c r="E222" s="94"/>
      <c r="F222" s="85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110"/>
    </row>
    <row r="223" spans="1:20" ht="24" customHeight="1" x14ac:dyDescent="0.25">
      <c r="A223" s="20" t="s">
        <v>293</v>
      </c>
      <c r="B223" s="21" t="s">
        <v>220</v>
      </c>
      <c r="C223" s="22">
        <v>1</v>
      </c>
      <c r="D223" s="22">
        <v>10</v>
      </c>
      <c r="E223" s="23">
        <v>5815</v>
      </c>
      <c r="F223" s="22"/>
      <c r="G223" s="23">
        <f t="shared" ref="G223:G225" si="89">E223+F223</f>
        <v>5815</v>
      </c>
      <c r="H223" s="23"/>
      <c r="I223" s="23"/>
      <c r="J223" s="23"/>
      <c r="K223" s="23">
        <f>G223*0.3</f>
        <v>1744.5</v>
      </c>
      <c r="L223" s="23">
        <f>R223-K223-G223</f>
        <v>5940.5</v>
      </c>
      <c r="M223" s="23"/>
      <c r="N223" s="23"/>
      <c r="O223" s="23"/>
      <c r="P223" s="23"/>
      <c r="Q223" s="23"/>
      <c r="R223" s="23">
        <v>13500</v>
      </c>
      <c r="S223" s="25">
        <f>R223*5</f>
        <v>67500</v>
      </c>
    </row>
    <row r="224" spans="1:20" s="38" customFormat="1" ht="25.8" customHeight="1" x14ac:dyDescent="0.25">
      <c r="A224" s="20" t="s">
        <v>294</v>
      </c>
      <c r="B224" s="21" t="s">
        <v>134</v>
      </c>
      <c r="C224" s="22">
        <v>0.5</v>
      </c>
      <c r="D224" s="22">
        <v>3</v>
      </c>
      <c r="E224" s="23">
        <v>1885</v>
      </c>
      <c r="F224" s="22"/>
      <c r="G224" s="23">
        <f t="shared" si="89"/>
        <v>1885</v>
      </c>
      <c r="H224" s="23"/>
      <c r="I224" s="23">
        <f>G224*0.1</f>
        <v>188.5</v>
      </c>
      <c r="J224" s="23"/>
      <c r="K224" s="23"/>
      <c r="L224" s="23"/>
      <c r="M224" s="23"/>
      <c r="N224" s="23"/>
      <c r="O224" s="23"/>
      <c r="P224" s="23">
        <f>8000/2-G224</f>
        <v>2115</v>
      </c>
      <c r="Q224" s="23"/>
      <c r="R224" s="23">
        <f>SUM(G224:Q224)</f>
        <v>4188.5</v>
      </c>
      <c r="S224" s="25">
        <f>R224*5</f>
        <v>20942.5</v>
      </c>
      <c r="T224" s="46"/>
    </row>
    <row r="225" spans="1:19" s="27" customFormat="1" ht="27.6" customHeight="1" thickBot="1" x14ac:dyDescent="0.3">
      <c r="A225" s="64"/>
      <c r="B225" s="47" t="s">
        <v>59</v>
      </c>
      <c r="C225" s="34">
        <f>SUM(C223:C224)</f>
        <v>1.5</v>
      </c>
      <c r="D225" s="34"/>
      <c r="E225" s="35">
        <f>SUM(E223:E224)</f>
        <v>7700</v>
      </c>
      <c r="F225" s="34">
        <f>SUM(F223:F224)</f>
        <v>0</v>
      </c>
      <c r="G225" s="35">
        <f t="shared" si="89"/>
        <v>7700</v>
      </c>
      <c r="H225" s="35"/>
      <c r="I225" s="35">
        <f>SUM(I224)</f>
        <v>188.5</v>
      </c>
      <c r="J225" s="35"/>
      <c r="K225" s="35">
        <f>SUM(K223:K224)</f>
        <v>1744.5</v>
      </c>
      <c r="L225" s="35">
        <f>SUM(L223:L224)</f>
        <v>5940.5</v>
      </c>
      <c r="M225" s="35"/>
      <c r="N225" s="35"/>
      <c r="O225" s="35"/>
      <c r="P225" s="35">
        <f>SUM(P224)</f>
        <v>2115</v>
      </c>
      <c r="Q225" s="35"/>
      <c r="R225" s="35">
        <f>SUM(R223:R224)</f>
        <v>17688.5</v>
      </c>
      <c r="S225" s="36">
        <f>SUM(S223:S224)</f>
        <v>88442.5</v>
      </c>
    </row>
    <row r="226" spans="1:19" ht="22.2" customHeight="1" x14ac:dyDescent="0.25">
      <c r="A226" s="15"/>
      <c r="B226" s="55" t="s">
        <v>295</v>
      </c>
      <c r="C226" s="85"/>
      <c r="D226" s="85"/>
      <c r="E226" s="94"/>
      <c r="F226" s="85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110"/>
    </row>
    <row r="227" spans="1:19" ht="31.2" customHeight="1" x14ac:dyDescent="0.25">
      <c r="A227" s="20" t="s">
        <v>296</v>
      </c>
      <c r="B227" s="21" t="s">
        <v>130</v>
      </c>
      <c r="C227" s="22">
        <v>0.5</v>
      </c>
      <c r="D227" s="22">
        <v>10</v>
      </c>
      <c r="E227" s="23">
        <v>2907.5</v>
      </c>
      <c r="F227" s="22"/>
      <c r="G227" s="23">
        <f t="shared" ref="G227:G228" si="90">E227+F227</f>
        <v>2907.5</v>
      </c>
      <c r="H227" s="23"/>
      <c r="I227" s="23"/>
      <c r="J227" s="23"/>
      <c r="K227" s="23">
        <f>G227*0.3</f>
        <v>872.25</v>
      </c>
      <c r="L227" s="23">
        <f>13500/2-G227-K227</f>
        <v>2970.25</v>
      </c>
      <c r="M227" s="23"/>
      <c r="N227" s="23"/>
      <c r="O227" s="23"/>
      <c r="P227" s="23"/>
      <c r="Q227" s="23"/>
      <c r="R227" s="23">
        <f>G227+K227+L227</f>
        <v>6750</v>
      </c>
      <c r="S227" s="25">
        <f>R227*5</f>
        <v>33750</v>
      </c>
    </row>
    <row r="228" spans="1:19" s="27" customFormat="1" ht="25.8" customHeight="1" thickBot="1" x14ac:dyDescent="0.3">
      <c r="A228" s="64"/>
      <c r="B228" s="47" t="s">
        <v>59</v>
      </c>
      <c r="C228" s="34">
        <f>SUM(C227:C227)</f>
        <v>0.5</v>
      </c>
      <c r="D228" s="34"/>
      <c r="E228" s="35">
        <f>SUM(E227:E227)</f>
        <v>2907.5</v>
      </c>
      <c r="F228" s="34">
        <f>SUM(F227:F227)</f>
        <v>0</v>
      </c>
      <c r="G228" s="35">
        <f t="shared" si="90"/>
        <v>2907.5</v>
      </c>
      <c r="H228" s="35"/>
      <c r="I228" s="35">
        <v>0</v>
      </c>
      <c r="J228" s="35"/>
      <c r="K228" s="35">
        <f>SUM(K227:K227)</f>
        <v>872.25</v>
      </c>
      <c r="L228" s="35">
        <f>SUM(L227:L227)</f>
        <v>2970.25</v>
      </c>
      <c r="M228" s="35"/>
      <c r="N228" s="35"/>
      <c r="O228" s="35"/>
      <c r="P228" s="35">
        <v>0</v>
      </c>
      <c r="Q228" s="35"/>
      <c r="R228" s="35">
        <f>SUM(R227:R227)</f>
        <v>6750</v>
      </c>
      <c r="S228" s="36">
        <f>SUM(S227:S227)</f>
        <v>33750</v>
      </c>
    </row>
    <row r="229" spans="1:19" ht="18.600000000000001" customHeight="1" x14ac:dyDescent="0.25">
      <c r="A229" s="15"/>
      <c r="B229" s="55" t="s">
        <v>298</v>
      </c>
      <c r="C229" s="85"/>
      <c r="D229" s="85"/>
      <c r="E229" s="94"/>
      <c r="F229" s="85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110"/>
    </row>
    <row r="230" spans="1:19" x14ac:dyDescent="0.25">
      <c r="A230" s="20" t="s">
        <v>299</v>
      </c>
      <c r="B230" s="21" t="s">
        <v>130</v>
      </c>
      <c r="C230" s="22">
        <v>0.5</v>
      </c>
      <c r="D230" s="22">
        <v>10</v>
      </c>
      <c r="E230" s="23">
        <v>2907.5</v>
      </c>
      <c r="F230" s="22"/>
      <c r="G230" s="23">
        <f t="shared" ref="G230:G232" si="91">E230+F230</f>
        <v>2907.5</v>
      </c>
      <c r="H230" s="23"/>
      <c r="I230" s="23"/>
      <c r="J230" s="23"/>
      <c r="K230" s="23">
        <f>G230*0.3</f>
        <v>872.25</v>
      </c>
      <c r="L230" s="23">
        <f>13500/2-G230-K230</f>
        <v>2970.25</v>
      </c>
      <c r="M230" s="23"/>
      <c r="N230" s="23"/>
      <c r="O230" s="23"/>
      <c r="P230" s="23"/>
      <c r="Q230" s="23"/>
      <c r="R230" s="23">
        <f>G230+K230+L230</f>
        <v>6750</v>
      </c>
      <c r="S230" s="25">
        <f>R230*5</f>
        <v>33750</v>
      </c>
    </row>
    <row r="231" spans="1:19" s="38" customFormat="1" x14ac:dyDescent="0.25">
      <c r="A231" s="20" t="s">
        <v>300</v>
      </c>
      <c r="B231" s="21" t="s">
        <v>134</v>
      </c>
      <c r="C231" s="22">
        <v>0.25</v>
      </c>
      <c r="D231" s="22">
        <v>3</v>
      </c>
      <c r="E231" s="23">
        <v>942.5</v>
      </c>
      <c r="F231" s="22"/>
      <c r="G231" s="23">
        <f t="shared" si="91"/>
        <v>942.5</v>
      </c>
      <c r="H231" s="23"/>
      <c r="I231" s="23">
        <f>G231*0.1</f>
        <v>94.25</v>
      </c>
      <c r="J231" s="23"/>
      <c r="K231" s="23"/>
      <c r="L231" s="23"/>
      <c r="M231" s="23"/>
      <c r="N231" s="23"/>
      <c r="O231" s="23"/>
      <c r="P231" s="23">
        <f>8000*0.25-G231</f>
        <v>1057.5</v>
      </c>
      <c r="Q231" s="23"/>
      <c r="R231" s="23">
        <f>E231+I231+P231</f>
        <v>2094.25</v>
      </c>
      <c r="S231" s="25">
        <f>R231*5</f>
        <v>10471.25</v>
      </c>
    </row>
    <row r="232" spans="1:19" s="27" customFormat="1" ht="27" customHeight="1" thickBot="1" x14ac:dyDescent="0.3">
      <c r="A232" s="64"/>
      <c r="B232" s="47" t="s">
        <v>59</v>
      </c>
      <c r="C232" s="34">
        <f>SUM(C230:C231)</f>
        <v>0.75</v>
      </c>
      <c r="D232" s="34"/>
      <c r="E232" s="35">
        <f>SUM(E230:E231)</f>
        <v>3850</v>
      </c>
      <c r="F232" s="34">
        <f>SUM(F230:F231)</f>
        <v>0</v>
      </c>
      <c r="G232" s="35">
        <f t="shared" si="91"/>
        <v>3850</v>
      </c>
      <c r="H232" s="35"/>
      <c r="I232" s="35">
        <f>SUM(I231)</f>
        <v>94.25</v>
      </c>
      <c r="J232" s="35"/>
      <c r="K232" s="35">
        <f>SUM(K230:K231)</f>
        <v>872.25</v>
      </c>
      <c r="L232" s="35">
        <f>SUM(L230:L231)</f>
        <v>2970.25</v>
      </c>
      <c r="M232" s="35"/>
      <c r="N232" s="35"/>
      <c r="O232" s="35"/>
      <c r="P232" s="35">
        <f>SUM(P231)</f>
        <v>1057.5</v>
      </c>
      <c r="Q232" s="35"/>
      <c r="R232" s="35">
        <f>SUM(R230:R231)</f>
        <v>8844.25</v>
      </c>
      <c r="S232" s="36">
        <f>SUM(S230:S231)</f>
        <v>44221.25</v>
      </c>
    </row>
    <row r="233" spans="1:19" s="49" customFormat="1" ht="23.25" customHeight="1" thickBot="1" x14ac:dyDescent="0.3">
      <c r="A233" s="67"/>
      <c r="B233" s="119" t="s">
        <v>301</v>
      </c>
      <c r="C233" s="120">
        <f>C27+C38+C46+C41+C54+C60+C81+C127+C111+C117+C140+C151+C157+C164+C171+C180+C185+C225+C221+C215+C201+C206+C228+C232+C191+C210+C196+C144+C121</f>
        <v>190.5</v>
      </c>
      <c r="D233" s="121"/>
      <c r="E233" s="120">
        <f t="shared" ref="E233:S233" si="92">E27+E38+E46+E41+E54+E60+E81+E127+E111+E117+E140+E151+E157+E164+E171+E180+E185+E221+E225+E215+E201+E206+E228+E191+E210+E196+E144+E232+E121</f>
        <v>1088875</v>
      </c>
      <c r="F233" s="120">
        <f t="shared" si="92"/>
        <v>29929.5625</v>
      </c>
      <c r="G233" s="120">
        <f t="shared" si="92"/>
        <v>1118804.5625</v>
      </c>
      <c r="H233" s="120">
        <f t="shared" si="92"/>
        <v>23683.75</v>
      </c>
      <c r="I233" s="120">
        <f t="shared" si="92"/>
        <v>26865.276249999999</v>
      </c>
      <c r="J233" s="120">
        <f t="shared" si="92"/>
        <v>491.82400000000001</v>
      </c>
      <c r="K233" s="120">
        <f t="shared" si="92"/>
        <v>221178.69374999995</v>
      </c>
      <c r="L233" s="120">
        <f t="shared" si="92"/>
        <v>900205.93249999988</v>
      </c>
      <c r="M233" s="120">
        <f t="shared" si="92"/>
        <v>3750</v>
      </c>
      <c r="N233" s="120">
        <f t="shared" si="92"/>
        <v>24538.915000000001</v>
      </c>
      <c r="O233" s="120">
        <f t="shared" si="92"/>
        <v>141900.25</v>
      </c>
      <c r="P233" s="120">
        <f t="shared" si="92"/>
        <v>245812</v>
      </c>
      <c r="Q233" s="120">
        <f t="shared" si="92"/>
        <v>0</v>
      </c>
      <c r="R233" s="120">
        <f t="shared" si="92"/>
        <v>2706996.9039999996</v>
      </c>
      <c r="S233" s="120">
        <f t="shared" si="92"/>
        <v>13466984.52</v>
      </c>
    </row>
    <row r="234" spans="1:19" ht="12.6" thickBot="1" x14ac:dyDescent="0.3">
      <c r="F234" s="13"/>
      <c r="I234" s="68"/>
    </row>
    <row r="235" spans="1:19" ht="15.6" customHeight="1" x14ac:dyDescent="0.25">
      <c r="B235" s="69" t="s">
        <v>302</v>
      </c>
      <c r="C235" s="70">
        <f>C48+C49+C56+C57+C58+C63+C64+C65+C66+C67+C68+C123+C124+C83+C84+C85+C86+C87+C88+C89+C100+C94+C90+C95+C91+C74+C98+C96+C93+C92+C101+C99+C102+C113+C114+C133+C129+C134+C135+C146+C153+C159+C166+C173+C174+C175+C182+C141+C69+C70+C71+C72+C73+C119+C120+C97</f>
        <v>49.75</v>
      </c>
      <c r="D235" s="70"/>
      <c r="E235" s="70">
        <f>E48+E49+E56+E57+E58+E63+E64+E65+E66+E67+E68+E123+E124+E83+E84+E85+E86+E87+E88+E89+E100+E94+E90+E95+E91+E74+E98+E96+E93+E92+E101+E99+E102+E113+E114+E133+E129+E134+E135+E146+E153+E159+E166+E173+E174+E175+E182+E141+E69+E70+E71+E72+E73+E119+E120+E97</f>
        <v>345546.5</v>
      </c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>
        <f t="shared" ref="Q235" si="93">Q48+Q49+Q56+Q57+Q58+Q63+Q64+Q65+Q66+Q67+Q68+Q123+Q124+Q83+Q84+Q85+Q86+Q87+Q88+Q89+Q100+Q94+Q90+Q95+Q91+Q74+Q98+Q96+Q93+Q92+Q101+Q99+Q102+Q113+Q114+Q133+Q129+Q134+Q135+Q146+Q153+Q159+Q166+Q173+Q174+Q175+Q182+Q141+Q69+Q70+Q71+Q72+Q73+Q119+Q120</f>
        <v>0</v>
      </c>
      <c r="R235" s="70">
        <f>R48+R49+R56+R57+R58+R63+R64+R65+R66+R67+R68+R123+R124+R83+R84+R85+R86+R87+R88+R89+R100+R94+R90+R95+R91+R74+R98+R96+R93+R92+R101+R99+R102+R113+R114+R133+R129+R134+R135+R146+R153+R159+R166+R173+R174+R175+R182+R141+R69+R70+R71+R72+R73+R119+R120+R97</f>
        <v>990000</v>
      </c>
      <c r="S235" s="70">
        <f>S48+S49+S56+S57+S58+S63+S64+S65+S66+S67+S68+S123+S124+S83+S84+S85+S86+S87+S88+S89+S100+S94+S90+S95+S91+S74+S98+S96+S93+S92+S101+S99+S102+S113+S114+S133+S129+S134+S135+S146+S153+S159+S166+S173+S174+S175+S182+S141+S69+S70+S71+S72+S73+S119+S120+S97</f>
        <v>4950000</v>
      </c>
    </row>
    <row r="236" spans="1:19" ht="15.6" customHeight="1" x14ac:dyDescent="0.25">
      <c r="B236" s="71" t="s">
        <v>303</v>
      </c>
      <c r="C236" s="72">
        <f>C17+C50+C53+C75+C76+C77+C125+C103+C106+C107+C104+C105+C108+C115+C130+C136+C137+C138+C147+C154+C155+C160+C161+C167+C168+C176+C177+C183+C218+C217+C223+C212+C198+C203+C227+C188+C208+C193+C142+C230</f>
        <v>69</v>
      </c>
      <c r="D236" s="72"/>
      <c r="E236" s="123">
        <f>E17+E50+E53+E75+E76+E77+E125+E103+E106+E107+E104+E105+E108+E115+E130+E136+E137+E138+E147+E154+E155+E160+E161+E167+E168+E176+E177+E183+E218+E217+E223+E212+E198+E203+E227+E188+E208+E193+E142+E230</f>
        <v>387530</v>
      </c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>
        <f>Q17+Q50+Q53+Q75+Q76+Q77+Q125+Q103+Q106+Q107+Q104+Q105+Q108+Q115+Q130+Q136+Q137+Q138+Q147+Q154+Q155+Q160+Q161+Q167+Q168+Q176+Q177+Q183+Q218+Q217+Q223+Q212+Q198+Q203+Q227+Q188+Q208+Q193+Q142+Q230</f>
        <v>0</v>
      </c>
      <c r="R236" s="72">
        <f>R17+R50+R53+R75+R76+R77+R125+R103+R106+R107+R104+R105+R108+R115+R130+R136+R137+R138+R147+R154+R155+R160+R161+R167+R168+R176+R177+R183+R218+R217+R223+R212+R198+R203+R227+R188+R208+R193+R142+R230</f>
        <v>940097</v>
      </c>
      <c r="S236" s="89">
        <f>S17+S50+S53+S75+S76+S77+S125+S103+S106+S107+S104+S105+S108+S115+S130+S136+S137+S138+S147+S154+S155+S160+S161+S167+S168+S176+S177+S183+S218+S217+S223+S212+S198+S203+S227+S188+S208+S193+S142+S230</f>
        <v>4700485</v>
      </c>
    </row>
    <row r="237" spans="1:19" ht="15.6" customHeight="1" x14ac:dyDescent="0.25">
      <c r="B237" s="71" t="s">
        <v>304</v>
      </c>
      <c r="C237" s="72">
        <f>C78+C79+C126+C110+C116+C139+C148+C156+C162+C169+C178+C184+C219+C224+C213+C199+C204+C189+C209+C194+C231</f>
        <v>26.75</v>
      </c>
      <c r="D237" s="72"/>
      <c r="E237" s="123">
        <f>E78+E79+E126+E110+E116+E139+E148+E156+E162+E169+E178+E184+E219+E224+E213+E199+E204+E189+E209+E194+E231</f>
        <v>103295.5</v>
      </c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 t="e">
        <f>Q78+Q79+Q126+Q110+Q116+Q139+Q148+Q156+Q162+Q169+Q178+Q184+Q219+Q224+Q213+Q199+Q204+#REF!+Q189+Q209+Q194+Q231</f>
        <v>#REF!</v>
      </c>
      <c r="R237" s="123">
        <f>R78+R79+R126+R110+R116+R139+R148+R156+R162+R169+R178+R184+R219+R224+R213+R199+R204+R189+R209+R194+R231</f>
        <v>230288.83</v>
      </c>
      <c r="S237" s="124">
        <f>S78+S79+S126+S110+S116+S139+S148+S156+S162+S169+S178+S184+S219+S224+S213+S199+S204+S189+S209+S194+S231</f>
        <v>1151444.1499999999</v>
      </c>
    </row>
    <row r="238" spans="1:19" ht="15.6" customHeight="1" x14ac:dyDescent="0.25">
      <c r="B238" s="71" t="s">
        <v>305</v>
      </c>
      <c r="C238" s="72">
        <f>C14+C15+C16+C18+C19+C20+C21+C22+C23+C24+C25+C26+C29+C31+C32+C33+C35+C36+C37+C43+C44+C45+C40+C51+C52+C59+C80+C109+C149+C150+C163+C170+C179+C220+C214+C200+C205+C190+C195+C143+C34+C30</f>
        <v>45</v>
      </c>
      <c r="D238" s="72"/>
      <c r="E238" s="123">
        <f>E14+E15+E16+E18+E19+E20+E21+E22+E23+E24+E25+E26+E29+E31+E32+E33+E35+E36+E37+E43+E44+E45+E40+E51+E52+E59+E80+E109+E149+E150+E163+E170+E179+E220+E214+E200+E205+E190+E195+E143+E34+E30</f>
        <v>252503</v>
      </c>
      <c r="F238" s="72"/>
      <c r="G238" s="72"/>
      <c r="H238" s="72" t="s">
        <v>8</v>
      </c>
      <c r="I238" s="72"/>
      <c r="J238" s="72"/>
      <c r="K238" s="72"/>
      <c r="L238" s="72"/>
      <c r="M238" s="72"/>
      <c r="N238" s="72"/>
      <c r="O238" s="72"/>
      <c r="P238" s="72"/>
      <c r="Q238" s="72">
        <f>Q14+Q15+Q16+Q18+Q19+Q20+Q21+Q22+Q23+Q24+Q25+Q26+Q29+Q31+Q32+Q33+Q35+Q36+Q37+Q43+Q44+Q45+Q40+Q51+Q52+Q59+Q80+Q109+Q149+Q150+Q163+Q170+Q179+Q220+Q214+Q200+Q205+Q190+Q195+Q143+Q34</f>
        <v>0</v>
      </c>
      <c r="R238" s="123">
        <f>R14+R15+R16+R18+R19+R20+R21+R22+R23+R24+R25+R26+R29+R31+R32+R33+R35+R36+R37+R43+R44+R45+R40+R51+R52+R59+R80+R109+R149+R150+R163+R170+R179+R220+R214+R200+R205+R190+R195+R143+R34+R30</f>
        <v>546611.07400000002</v>
      </c>
      <c r="S238" s="123">
        <f>S14+S15+S16+S18+S19+S20+S21+S22+S23+S24+S25+S26+S29+S31+S32+S33+S35+S36+S37+S43+S44+S45+S40+S51+S52+S59+S80+S109+S149+S150+S163+S170+S179+S220+S214+S200+S205+S190+S195+S143+S34+S30</f>
        <v>2665055.37</v>
      </c>
    </row>
    <row r="239" spans="1:19" ht="12.6" thickBot="1" x14ac:dyDescent="0.3">
      <c r="B239" s="73" t="s">
        <v>306</v>
      </c>
      <c r="C239" s="74">
        <f>SUBTOTAL(9,C235:C238)</f>
        <v>190.5</v>
      </c>
      <c r="D239" s="74"/>
      <c r="E239" s="75">
        <f>SUBTOTAL(9,E235:E238)</f>
        <v>1088875</v>
      </c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 t="e">
        <f t="shared" ref="Q239:S239" si="94">SUBTOTAL(9,Q235:Q238)</f>
        <v>#REF!</v>
      </c>
      <c r="R239" s="75">
        <f>R235+R236+R237+R238</f>
        <v>2706996.9040000001</v>
      </c>
      <c r="S239" s="76">
        <f t="shared" si="94"/>
        <v>13466984.52</v>
      </c>
    </row>
    <row r="240" spans="1:19" ht="19.95" customHeight="1" x14ac:dyDescent="0.25">
      <c r="R240" s="53"/>
    </row>
    <row r="241" spans="2:10" ht="19.2" customHeight="1" x14ac:dyDescent="0.3">
      <c r="B241" s="77" t="s">
        <v>307</v>
      </c>
      <c r="C241" s="78"/>
      <c r="D241" s="78"/>
      <c r="E241" s="79">
        <f>E239</f>
        <v>1088875</v>
      </c>
      <c r="G241" s="80"/>
      <c r="H241" s="81"/>
      <c r="I241" s="82"/>
    </row>
    <row r="242" spans="2:10" x14ac:dyDescent="0.25">
      <c r="B242" s="77" t="s">
        <v>308</v>
      </c>
      <c r="E242" s="52">
        <f>S233+E241</f>
        <v>14555859.52</v>
      </c>
    </row>
    <row r="244" spans="2:10" ht="15.6" x14ac:dyDescent="0.3">
      <c r="C244" s="83"/>
      <c r="D244" s="83"/>
      <c r="E244" s="83"/>
      <c r="F244" s="83"/>
      <c r="G244" s="83"/>
      <c r="H244" s="83"/>
      <c r="I244" s="83"/>
      <c r="J244" s="83"/>
    </row>
    <row r="245" spans="2:10" ht="15.6" x14ac:dyDescent="0.3">
      <c r="C245" s="83" t="s">
        <v>3</v>
      </c>
      <c r="D245" s="83"/>
      <c r="E245" s="83"/>
      <c r="F245" s="83"/>
      <c r="G245" s="83"/>
      <c r="H245" s="83" t="s">
        <v>309</v>
      </c>
      <c r="I245" s="83"/>
      <c r="J245" s="83"/>
    </row>
    <row r="246" spans="2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2:10" ht="15.6" x14ac:dyDescent="0.3">
      <c r="C247" s="83"/>
      <c r="D247" s="83"/>
      <c r="E247" s="83"/>
      <c r="F247" s="83"/>
      <c r="G247" s="83"/>
      <c r="H247" s="83"/>
      <c r="I247" s="83"/>
      <c r="J247" s="83"/>
    </row>
    <row r="248" spans="2:10" ht="15.6" x14ac:dyDescent="0.3">
      <c r="C248" s="143" t="s">
        <v>39</v>
      </c>
      <c r="D248" s="143"/>
      <c r="E248" s="143"/>
      <c r="F248" s="83"/>
      <c r="G248" s="83"/>
      <c r="H248" s="83" t="s">
        <v>311</v>
      </c>
      <c r="I248" s="83"/>
      <c r="J248" s="83"/>
    </row>
    <row r="249" spans="2:10" ht="15.6" x14ac:dyDescent="0.3">
      <c r="C249" s="83"/>
      <c r="D249" s="84"/>
      <c r="E249" s="84"/>
      <c r="F249" s="83"/>
      <c r="G249" s="83"/>
      <c r="H249" s="83"/>
      <c r="I249" s="83"/>
      <c r="J249" s="83"/>
    </row>
    <row r="250" spans="2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2:10" ht="15.6" x14ac:dyDescent="0.3">
      <c r="C251" s="83" t="s">
        <v>46</v>
      </c>
      <c r="D251" s="83"/>
      <c r="E251" s="83"/>
      <c r="F251" s="83"/>
      <c r="G251" s="83"/>
      <c r="H251" s="83" t="s">
        <v>331</v>
      </c>
      <c r="I251" s="83"/>
      <c r="J251" s="83"/>
    </row>
    <row r="252" spans="2:10" ht="15.6" x14ac:dyDescent="0.3">
      <c r="C252" s="83"/>
      <c r="D252" s="83"/>
      <c r="E252" s="83"/>
      <c r="F252" s="83"/>
      <c r="G252" s="83"/>
      <c r="H252" s="83"/>
      <c r="I252" s="83"/>
      <c r="J252" s="83"/>
    </row>
    <row r="253" spans="2:10" ht="15.6" x14ac:dyDescent="0.3">
      <c r="C253" s="83"/>
      <c r="D253" s="83"/>
      <c r="E253" s="83"/>
      <c r="F253" s="83"/>
      <c r="G253" s="83"/>
      <c r="H253" s="83"/>
      <c r="I253" s="83"/>
      <c r="J253" s="83"/>
    </row>
    <row r="254" spans="2:10" ht="15.6" x14ac:dyDescent="0.3">
      <c r="C254" s="143"/>
      <c r="D254" s="144"/>
      <c r="E254" s="144"/>
      <c r="F254" s="83"/>
      <c r="G254" s="83"/>
      <c r="H254" s="83"/>
      <c r="I254" s="83"/>
      <c r="J254" s="83"/>
    </row>
    <row r="255" spans="2:10" ht="15.6" x14ac:dyDescent="0.3">
      <c r="C255" s="83"/>
      <c r="D255" s="84"/>
      <c r="E255" s="84"/>
      <c r="F255" s="83"/>
      <c r="G255" s="83"/>
      <c r="H255" s="83"/>
      <c r="I255" s="83"/>
      <c r="J255" s="83"/>
    </row>
    <row r="256" spans="2:10" ht="15.6" x14ac:dyDescent="0.3">
      <c r="C256" s="83"/>
      <c r="D256" s="83"/>
      <c r="E256" s="83"/>
      <c r="F256" s="83"/>
      <c r="G256" s="83"/>
      <c r="H256" s="83"/>
      <c r="I256" s="83"/>
      <c r="J256" s="83"/>
    </row>
    <row r="257" spans="3:10" ht="15.6" x14ac:dyDescent="0.3">
      <c r="C257" s="83"/>
      <c r="D257" s="83"/>
      <c r="E257" s="83"/>
      <c r="F257" s="83"/>
      <c r="G257" s="83"/>
      <c r="H257" s="83"/>
      <c r="I257" s="83"/>
      <c r="J257" s="83"/>
    </row>
  </sheetData>
  <mergeCells count="29">
    <mergeCell ref="B1:S1"/>
    <mergeCell ref="M2:S2"/>
    <mergeCell ref="B3:D3"/>
    <mergeCell ref="M3:S3"/>
    <mergeCell ref="B5:D5"/>
    <mergeCell ref="M5:P5"/>
    <mergeCell ref="A11:A12"/>
    <mergeCell ref="B11:B12"/>
    <mergeCell ref="C11:C12"/>
    <mergeCell ref="D11:D12"/>
    <mergeCell ref="E11:E12"/>
    <mergeCell ref="M6:S6"/>
    <mergeCell ref="O8:P8"/>
    <mergeCell ref="S8:AH8"/>
    <mergeCell ref="B9:R9"/>
    <mergeCell ref="B10:R10"/>
    <mergeCell ref="S11:S12"/>
    <mergeCell ref="C248:E248"/>
    <mergeCell ref="F11:F12"/>
    <mergeCell ref="G11:G12"/>
    <mergeCell ref="H11:K11"/>
    <mergeCell ref="L11:L12"/>
    <mergeCell ref="M11:M12"/>
    <mergeCell ref="N11:N12"/>
    <mergeCell ref="C254:E254"/>
    <mergeCell ref="O11:O12"/>
    <mergeCell ref="P11:P12"/>
    <mergeCell ref="Q11:Q12"/>
    <mergeCell ref="R11:R12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5E38B-7031-48BE-8D8C-FC467E4FF418}">
  <dimension ref="A1:AI257"/>
  <sheetViews>
    <sheetView view="pageBreakPreview" topLeftCell="B1" zoomScale="90" zoomScaleNormal="70" zoomScaleSheetLayoutView="90" workbookViewId="0">
      <selection activeCell="C60" sqref="C60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2" width="11.33203125" style="2" customWidth="1"/>
    <col min="13" max="13" width="10.21875" style="2" customWidth="1"/>
    <col min="14" max="14" width="9.88671875" style="2" customWidth="1"/>
    <col min="15" max="15" width="12.5546875" style="2" customWidth="1"/>
    <col min="16" max="16" width="10.88671875" style="2" customWidth="1"/>
    <col min="17" max="17" width="0.21875" style="2" customWidth="1"/>
    <col min="18" max="18" width="11.5546875" style="2" customWidth="1"/>
    <col min="19" max="19" width="11.886718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4"/>
      <c r="S1" s="16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63"/>
      <c r="N2" s="164"/>
      <c r="O2" s="164"/>
      <c r="P2" s="164"/>
      <c r="Q2" s="164"/>
      <c r="R2" s="164"/>
      <c r="S2" s="164"/>
    </row>
    <row r="3" spans="1:35" ht="40.799999999999997" customHeight="1" x14ac:dyDescent="0.35">
      <c r="B3" s="165" t="s">
        <v>0</v>
      </c>
      <c r="C3" s="166"/>
      <c r="D3" s="166"/>
      <c r="E3" s="4"/>
      <c r="F3" s="4"/>
      <c r="G3" s="4"/>
      <c r="H3" s="4"/>
      <c r="I3" s="4"/>
      <c r="J3" s="4"/>
      <c r="K3" s="4"/>
      <c r="L3" s="4"/>
      <c r="M3" s="167" t="s">
        <v>1</v>
      </c>
      <c r="N3" s="168"/>
      <c r="O3" s="168"/>
      <c r="P3" s="168"/>
      <c r="Q3" s="168"/>
      <c r="R3" s="168"/>
      <c r="S3" s="168"/>
    </row>
    <row r="4" spans="1:35" ht="11.4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/>
      <c r="N4"/>
      <c r="O4"/>
      <c r="P4"/>
      <c r="Q4"/>
      <c r="R4"/>
      <c r="S4"/>
    </row>
    <row r="5" spans="1:35" ht="17.399999999999999" x14ac:dyDescent="0.3">
      <c r="B5" s="169" t="s">
        <v>2</v>
      </c>
      <c r="C5" s="169"/>
      <c r="D5" s="169"/>
      <c r="G5" s="8"/>
      <c r="H5" s="8"/>
      <c r="I5" s="8"/>
      <c r="J5" s="8"/>
      <c r="K5" s="8"/>
      <c r="L5" s="8"/>
      <c r="M5" s="143" t="s">
        <v>3</v>
      </c>
      <c r="N5" s="144"/>
      <c r="O5" s="144"/>
      <c r="P5" s="144"/>
      <c r="Q5" s="9"/>
      <c r="R5" s="9"/>
      <c r="S5" s="3"/>
    </row>
    <row r="6" spans="1:35" ht="29.4" customHeight="1" x14ac:dyDescent="0.3">
      <c r="B6" s="10"/>
      <c r="G6" s="11"/>
      <c r="H6" s="12"/>
      <c r="M6" s="155" t="s">
        <v>4</v>
      </c>
      <c r="N6" s="144"/>
      <c r="O6" s="144"/>
      <c r="P6" s="144"/>
      <c r="Q6" s="144"/>
      <c r="R6" s="144"/>
      <c r="S6" s="144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6" t="s">
        <v>341</v>
      </c>
      <c r="P8" s="157"/>
      <c r="Q8" s="13"/>
      <c r="R8" s="13"/>
      <c r="S8" s="158" t="s">
        <v>6</v>
      </c>
      <c r="T8" s="158"/>
      <c r="U8" s="158"/>
      <c r="V8" s="158"/>
      <c r="W8" s="158"/>
      <c r="X8" s="158"/>
      <c r="Y8" s="158"/>
      <c r="Z8" s="158"/>
      <c r="AA8" s="158"/>
      <c r="AB8" s="158"/>
      <c r="AC8" s="158"/>
      <c r="AD8" s="158"/>
      <c r="AE8" s="158"/>
      <c r="AF8" s="158"/>
      <c r="AG8" s="158"/>
      <c r="AH8" s="158"/>
      <c r="AI8" s="14"/>
    </row>
    <row r="9" spans="1:35" ht="23.4" customHeight="1" x14ac:dyDescent="0.3">
      <c r="B9" s="159" t="s">
        <v>7</v>
      </c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4" t="s">
        <v>8</v>
      </c>
    </row>
    <row r="10" spans="1:35" ht="27.6" customHeight="1" thickBot="1" x14ac:dyDescent="0.35">
      <c r="B10" s="160" t="s">
        <v>338</v>
      </c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</row>
    <row r="11" spans="1:35" ht="37.950000000000003" customHeight="1" x14ac:dyDescent="0.25">
      <c r="A11" s="161"/>
      <c r="B11" s="149" t="s">
        <v>10</v>
      </c>
      <c r="C11" s="151" t="s">
        <v>11</v>
      </c>
      <c r="D11" s="151" t="s">
        <v>12</v>
      </c>
      <c r="E11" s="151" t="s">
        <v>13</v>
      </c>
      <c r="F11" s="151" t="s">
        <v>14</v>
      </c>
      <c r="G11" s="151" t="s">
        <v>15</v>
      </c>
      <c r="H11" s="151" t="s">
        <v>16</v>
      </c>
      <c r="I11" s="151"/>
      <c r="J11" s="151"/>
      <c r="K11" s="151"/>
      <c r="L11" s="147" t="s">
        <v>17</v>
      </c>
      <c r="M11" s="147" t="s">
        <v>18</v>
      </c>
      <c r="N11" s="147" t="s">
        <v>19</v>
      </c>
      <c r="O11" s="145" t="s">
        <v>20</v>
      </c>
      <c r="P11" s="147" t="s">
        <v>21</v>
      </c>
      <c r="Q11" s="149"/>
      <c r="R11" s="151" t="s">
        <v>22</v>
      </c>
      <c r="S11" s="153" t="s">
        <v>340</v>
      </c>
    </row>
    <row r="12" spans="1:35" ht="64.95" customHeight="1" thickBot="1" x14ac:dyDescent="0.3">
      <c r="A12" s="162"/>
      <c r="B12" s="150"/>
      <c r="C12" s="152"/>
      <c r="D12" s="152"/>
      <c r="E12" s="152"/>
      <c r="F12" s="152"/>
      <c r="G12" s="152"/>
      <c r="H12" s="16" t="s">
        <v>24</v>
      </c>
      <c r="I12" s="17" t="s">
        <v>25</v>
      </c>
      <c r="J12" s="17" t="s">
        <v>26</v>
      </c>
      <c r="K12" s="16" t="s">
        <v>27</v>
      </c>
      <c r="L12" s="148"/>
      <c r="M12" s="148"/>
      <c r="N12" s="148"/>
      <c r="O12" s="146"/>
      <c r="P12" s="148"/>
      <c r="Q12" s="150"/>
      <c r="R12" s="152"/>
      <c r="S12" s="154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R14*4</f>
        <v>215000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R15*4</f>
        <v>90000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90000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5815</v>
      </c>
      <c r="F17" s="23"/>
      <c r="G17" s="23">
        <f>E17</f>
        <v>5815</v>
      </c>
      <c r="H17" s="23">
        <f>G17*0.5</f>
        <v>2907.5</v>
      </c>
      <c r="I17" s="23" t="s">
        <v>37</v>
      </c>
      <c r="J17" s="24"/>
      <c r="K17" s="22">
        <f>G17*0.3</f>
        <v>1744.5</v>
      </c>
      <c r="L17" s="23"/>
      <c r="M17" s="24"/>
      <c r="N17" s="23"/>
      <c r="O17" s="26">
        <f>G17*200%</f>
        <v>11630</v>
      </c>
      <c r="P17" s="24"/>
      <c r="Q17" s="22"/>
      <c r="R17" s="23">
        <f>N17+K17+H17+E17+L17+O17</f>
        <v>22097</v>
      </c>
      <c r="S17" s="25">
        <f t="shared" si="0"/>
        <v>88388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6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160000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5240*C19</f>
        <v>10480</v>
      </c>
      <c r="F19" s="23"/>
      <c r="G19" s="23">
        <f t="shared" si="1"/>
        <v>10480</v>
      </c>
      <c r="H19" s="23">
        <f t="shared" ref="H19:H26" si="2">G19*0.5</f>
        <v>5240</v>
      </c>
      <c r="I19" s="23"/>
      <c r="J19" s="23"/>
      <c r="K19" s="23"/>
      <c r="L19" s="23" t="s">
        <v>44</v>
      </c>
      <c r="M19" s="23"/>
      <c r="N19" s="23"/>
      <c r="O19" s="23">
        <f>10480*C19</f>
        <v>20960</v>
      </c>
      <c r="P19" s="23" t="s">
        <v>8</v>
      </c>
      <c r="Q19" s="23"/>
      <c r="R19" s="23">
        <f>G19+H19+O19</f>
        <v>36680</v>
      </c>
      <c r="S19" s="25">
        <f t="shared" si="0"/>
        <v>146720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8</v>
      </c>
      <c r="E20" s="23">
        <v>5240</v>
      </c>
      <c r="F20" s="23"/>
      <c r="G20" s="23">
        <f t="shared" si="1"/>
        <v>5240</v>
      </c>
      <c r="H20" s="23">
        <f t="shared" si="2"/>
        <v>2620</v>
      </c>
      <c r="I20" s="23"/>
      <c r="J20" s="23"/>
      <c r="K20" s="23"/>
      <c r="L20" s="23" t="s">
        <v>44</v>
      </c>
      <c r="M20" s="23"/>
      <c r="N20" s="23"/>
      <c r="O20" s="23">
        <v>10480</v>
      </c>
      <c r="P20" s="23" t="s">
        <v>8</v>
      </c>
      <c r="Q20" s="23"/>
      <c r="R20" s="23">
        <f>G20+H20+O20</f>
        <v>18340</v>
      </c>
      <c r="S20" s="25">
        <f t="shared" si="0"/>
        <v>73360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5240</v>
      </c>
      <c r="F21" s="22"/>
      <c r="G21" s="23">
        <f t="shared" si="1"/>
        <v>5240</v>
      </c>
      <c r="H21" s="23">
        <f t="shared" si="2"/>
        <v>2620</v>
      </c>
      <c r="I21" s="24"/>
      <c r="J21" s="24"/>
      <c r="K21" s="22"/>
      <c r="L21" s="24"/>
      <c r="M21" s="24"/>
      <c r="N21" s="23"/>
      <c r="O21" s="23">
        <f>G21*200%</f>
        <v>10480</v>
      </c>
      <c r="P21" s="24"/>
      <c r="Q21" s="22"/>
      <c r="R21" s="23">
        <f t="shared" ref="R21:R25" si="3">G21+H21+O21</f>
        <v>18340</v>
      </c>
      <c r="S21" s="25">
        <f t="shared" si="0"/>
        <v>73360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4633</v>
      </c>
      <c r="F22" s="22"/>
      <c r="G22" s="23">
        <f t="shared" si="1"/>
        <v>4633</v>
      </c>
      <c r="H22" s="22">
        <f t="shared" si="2"/>
        <v>2316.5</v>
      </c>
      <c r="I22" s="24"/>
      <c r="J22" s="24"/>
      <c r="K22" s="22"/>
      <c r="L22" s="24"/>
      <c r="M22" s="24"/>
      <c r="N22" s="23"/>
      <c r="O22" s="23">
        <f>G22*200%</f>
        <v>9266</v>
      </c>
      <c r="P22" s="24"/>
      <c r="Q22" s="22"/>
      <c r="R22" s="23">
        <f t="shared" si="3"/>
        <v>16215.5</v>
      </c>
      <c r="S22" s="25">
        <f t="shared" si="0"/>
        <v>64862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E22/2</f>
        <v>2316.5</v>
      </c>
      <c r="F23" s="22"/>
      <c r="G23" s="23">
        <f t="shared" si="1"/>
        <v>2316.5</v>
      </c>
      <c r="H23" s="22">
        <f t="shared" si="2"/>
        <v>1158.25</v>
      </c>
      <c r="I23" s="24"/>
      <c r="J23" s="24"/>
      <c r="K23" s="22"/>
      <c r="L23" s="24"/>
      <c r="M23" s="24"/>
      <c r="N23" s="23"/>
      <c r="O23" s="23">
        <f>G23*150%</f>
        <v>3474.75</v>
      </c>
      <c r="P23" s="24"/>
      <c r="Q23" s="22"/>
      <c r="R23" s="23">
        <f t="shared" si="3"/>
        <v>6949.5</v>
      </c>
      <c r="S23" s="25">
        <f t="shared" si="0"/>
        <v>27798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4058</v>
      </c>
      <c r="F24" s="22"/>
      <c r="G24" s="23">
        <f t="shared" si="1"/>
        <v>4058</v>
      </c>
      <c r="H24" s="22">
        <f t="shared" si="2"/>
        <v>2029</v>
      </c>
      <c r="I24" s="24"/>
      <c r="J24" s="24"/>
      <c r="K24" s="22"/>
      <c r="L24" s="24"/>
      <c r="M24" s="24"/>
      <c r="N24" s="23"/>
      <c r="O24" s="23">
        <f>G24*200%</f>
        <v>8116</v>
      </c>
      <c r="P24" s="24"/>
      <c r="Q24" s="22"/>
      <c r="R24" s="23">
        <f t="shared" si="3"/>
        <v>14203</v>
      </c>
      <c r="S24" s="25">
        <f t="shared" si="0"/>
        <v>56812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5527</v>
      </c>
      <c r="F25" s="23"/>
      <c r="G25" s="23">
        <f t="shared" si="1"/>
        <v>5527</v>
      </c>
      <c r="H25" s="23">
        <f t="shared" si="2"/>
        <v>2763.5</v>
      </c>
      <c r="I25" s="23"/>
      <c r="J25" s="23"/>
      <c r="K25" s="23"/>
      <c r="L25" s="23"/>
      <c r="M25" s="23"/>
      <c r="N25" s="23"/>
      <c r="O25" s="23">
        <f>G25*150%</f>
        <v>8290.5</v>
      </c>
      <c r="P25" s="23"/>
      <c r="Q25" s="23"/>
      <c r="R25" s="23">
        <f t="shared" si="3"/>
        <v>16581</v>
      </c>
      <c r="S25" s="25">
        <f t="shared" si="0"/>
        <v>66324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4058*C26</f>
        <v>4058</v>
      </c>
      <c r="F26" s="22"/>
      <c r="G26" s="23">
        <f t="shared" si="1"/>
        <v>4058</v>
      </c>
      <c r="H26" s="22">
        <f t="shared" si="2"/>
        <v>2029</v>
      </c>
      <c r="I26" s="24"/>
      <c r="J26" s="24"/>
      <c r="K26" s="22"/>
      <c r="L26" s="24"/>
      <c r="M26" s="24"/>
      <c r="N26" s="23"/>
      <c r="O26" s="23">
        <f>G26*150%</f>
        <v>6087</v>
      </c>
      <c r="P26" s="24"/>
      <c r="Q26" s="22"/>
      <c r="R26" s="23">
        <f>G26+H26+O26</f>
        <v>12174</v>
      </c>
      <c r="S26" s="25">
        <f t="shared" si="0"/>
        <v>48696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137367.5</v>
      </c>
      <c r="F27" s="34"/>
      <c r="G27" s="35">
        <f>SUM(G14:G26)</f>
        <v>137367.5</v>
      </c>
      <c r="H27" s="34">
        <f>SUM(H14:H26)</f>
        <v>23683.75</v>
      </c>
      <c r="I27" s="90"/>
      <c r="J27" s="90"/>
      <c r="K27" s="34">
        <f>SUM(K14:K26)</f>
        <v>1744.5</v>
      </c>
      <c r="L27" s="90"/>
      <c r="M27" s="34">
        <f>SUM(M14:M26)</f>
        <v>3750</v>
      </c>
      <c r="N27" s="35"/>
      <c r="O27" s="35">
        <f>SUM(O14:O26)</f>
        <v>133784.25</v>
      </c>
      <c r="P27" s="90"/>
      <c r="Q27" s="34"/>
      <c r="R27" s="35">
        <f>SUM(R14:R26)</f>
        <v>300330</v>
      </c>
      <c r="S27" s="36">
        <f>SUM(S14:S26)</f>
        <v>1201320</v>
      </c>
    </row>
    <row r="28" spans="1:19" s="13" customFormat="1" ht="25.2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93"/>
    </row>
    <row r="29" spans="1:19" x14ac:dyDescent="0.25">
      <c r="A29" s="20" t="s">
        <v>61</v>
      </c>
      <c r="B29" s="21" t="s">
        <v>62</v>
      </c>
      <c r="C29" s="22">
        <v>0.5</v>
      </c>
      <c r="D29" s="22">
        <v>7</v>
      </c>
      <c r="E29" s="23">
        <f>4920*C29</f>
        <v>2460</v>
      </c>
      <c r="F29" s="22"/>
      <c r="G29" s="23">
        <f t="shared" ref="G29:G32" si="4">E29+F29</f>
        <v>2460</v>
      </c>
      <c r="H29" s="23"/>
      <c r="I29" s="23"/>
      <c r="J29" s="23"/>
      <c r="K29" s="23"/>
      <c r="L29" s="23"/>
      <c r="M29" s="23"/>
      <c r="N29" s="23"/>
      <c r="O29" s="23"/>
      <c r="P29" s="23">
        <f>8000*C29-G29</f>
        <v>1540</v>
      </c>
      <c r="Q29" s="23"/>
      <c r="R29" s="23">
        <f>G29+H29+I29+ J29+K29+L29+N29+O29+P29</f>
        <v>4000</v>
      </c>
      <c r="S29" s="25">
        <f>R29*4</f>
        <v>16000</v>
      </c>
    </row>
    <row r="30" spans="1:19" x14ac:dyDescent="0.25">
      <c r="A30" s="20" t="s">
        <v>61</v>
      </c>
      <c r="B30" s="21" t="s">
        <v>328</v>
      </c>
      <c r="C30" s="22">
        <v>0.5</v>
      </c>
      <c r="D30" s="22">
        <v>6</v>
      </c>
      <c r="E30" s="23">
        <f>4633*C30</f>
        <v>2316.5</v>
      </c>
      <c r="F30" s="22"/>
      <c r="G30" s="23">
        <f t="shared" si="4"/>
        <v>2316.5</v>
      </c>
      <c r="H30" s="23"/>
      <c r="I30" s="23"/>
      <c r="J30" s="23"/>
      <c r="K30" s="23"/>
      <c r="L30" s="23"/>
      <c r="M30" s="23"/>
      <c r="N30" s="23"/>
      <c r="O30" s="23"/>
      <c r="P30" s="23">
        <f>8000*C30-G30</f>
        <v>1683.5</v>
      </c>
      <c r="Q30" s="23"/>
      <c r="R30" s="23">
        <f>G30+H30+I30+ J30+K30+L30+N30+O30+P30</f>
        <v>4000</v>
      </c>
      <c r="S30" s="25">
        <f t="shared" ref="S30:S37" si="5">R30*4</f>
        <v>16000</v>
      </c>
    </row>
    <row r="31" spans="1:19" x14ac:dyDescent="0.25">
      <c r="A31" s="20" t="s">
        <v>63</v>
      </c>
      <c r="B31" s="21" t="s">
        <v>64</v>
      </c>
      <c r="C31" s="22">
        <v>0.5</v>
      </c>
      <c r="D31" s="22">
        <v>1</v>
      </c>
      <c r="E31" s="23">
        <f>3195*C31</f>
        <v>1597.5</v>
      </c>
      <c r="F31" s="22"/>
      <c r="G31" s="23">
        <f t="shared" si="4"/>
        <v>1597.5</v>
      </c>
      <c r="H31" s="23"/>
      <c r="I31" s="23"/>
      <c r="J31" s="23"/>
      <c r="K31" s="23"/>
      <c r="L31" s="23"/>
      <c r="M31" s="23"/>
      <c r="N31" s="23"/>
      <c r="O31" s="23"/>
      <c r="P31" s="23">
        <f>8000-G31</f>
        <v>6402.5</v>
      </c>
      <c r="Q31" s="23"/>
      <c r="R31" s="23">
        <f t="shared" ref="R31:R32" si="6">G31+H31+I31+ J31+K31+L31+N31+O31+P31</f>
        <v>8000</v>
      </c>
      <c r="S31" s="25">
        <f t="shared" si="5"/>
        <v>32000</v>
      </c>
    </row>
    <row r="32" spans="1:19" x14ac:dyDescent="0.25">
      <c r="A32" s="20" t="s">
        <v>65</v>
      </c>
      <c r="B32" s="21" t="s">
        <v>66</v>
      </c>
      <c r="C32" s="22">
        <v>1.5</v>
      </c>
      <c r="D32" s="22">
        <v>1</v>
      </c>
      <c r="E32" s="23">
        <f>3195*C32</f>
        <v>4792.5</v>
      </c>
      <c r="F32" s="22"/>
      <c r="G32" s="23">
        <f t="shared" si="4"/>
        <v>4792.5</v>
      </c>
      <c r="H32" s="23"/>
      <c r="I32" s="23"/>
      <c r="J32" s="23"/>
      <c r="K32" s="23"/>
      <c r="L32" s="23"/>
      <c r="M32" s="23"/>
      <c r="N32" s="23"/>
      <c r="O32" s="23"/>
      <c r="P32" s="23">
        <f t="shared" ref="P32" si="7">8000-G32</f>
        <v>3207.5</v>
      </c>
      <c r="Q32" s="23"/>
      <c r="R32" s="23">
        <f t="shared" si="6"/>
        <v>8000</v>
      </c>
      <c r="S32" s="25">
        <f t="shared" si="5"/>
        <v>32000</v>
      </c>
    </row>
    <row r="33" spans="1:19" x14ac:dyDescent="0.25">
      <c r="A33" s="20" t="s">
        <v>67</v>
      </c>
      <c r="B33" s="21" t="s">
        <v>68</v>
      </c>
      <c r="C33" s="22">
        <v>1.5</v>
      </c>
      <c r="D33" s="22">
        <v>3</v>
      </c>
      <c r="E33" s="23">
        <f>3770*C33</f>
        <v>5655</v>
      </c>
      <c r="F33" s="22"/>
      <c r="G33" s="23">
        <f t="shared" si="1"/>
        <v>5655</v>
      </c>
      <c r="H33" s="23"/>
      <c r="I33" s="23"/>
      <c r="J33" s="23"/>
      <c r="K33" s="23"/>
      <c r="L33" s="23"/>
      <c r="M33" s="23"/>
      <c r="N33" s="23"/>
      <c r="O33" s="23"/>
      <c r="P33" s="23">
        <f>8000*C33-G33</f>
        <v>6345</v>
      </c>
      <c r="Q33" s="23"/>
      <c r="R33" s="23">
        <f>G33+H33+I33+ J33+K33+L33+N33+O33+P33</f>
        <v>12000</v>
      </c>
      <c r="S33" s="25">
        <f t="shared" si="5"/>
        <v>48000</v>
      </c>
    </row>
    <row r="34" spans="1:19" ht="24" x14ac:dyDescent="0.25">
      <c r="A34" s="20" t="s">
        <v>67</v>
      </c>
      <c r="B34" s="21" t="s">
        <v>315</v>
      </c>
      <c r="C34" s="22">
        <v>0.5</v>
      </c>
      <c r="D34" s="22">
        <v>3</v>
      </c>
      <c r="E34" s="23">
        <f>3770*C34</f>
        <v>1885</v>
      </c>
      <c r="F34" s="22"/>
      <c r="G34" s="23">
        <f t="shared" si="1"/>
        <v>1885</v>
      </c>
      <c r="H34" s="23"/>
      <c r="I34" s="23"/>
      <c r="J34" s="23"/>
      <c r="K34" s="23"/>
      <c r="L34" s="23"/>
      <c r="M34" s="23"/>
      <c r="N34" s="23"/>
      <c r="O34" s="23"/>
      <c r="P34" s="23">
        <f>8000*C34-G34</f>
        <v>2115</v>
      </c>
      <c r="Q34" s="23"/>
      <c r="R34" s="23">
        <f>G34+H34+I34+ J34+K34+L34+N34+O34+P34</f>
        <v>4000</v>
      </c>
      <c r="S34" s="25">
        <f t="shared" si="5"/>
        <v>16000</v>
      </c>
    </row>
    <row r="35" spans="1:19" ht="12.6" customHeight="1" x14ac:dyDescent="0.25">
      <c r="A35" s="20" t="s">
        <v>69</v>
      </c>
      <c r="B35" s="21" t="s">
        <v>70</v>
      </c>
      <c r="C35" s="22">
        <v>1</v>
      </c>
      <c r="D35" s="22">
        <v>2</v>
      </c>
      <c r="E35" s="23">
        <v>3483</v>
      </c>
      <c r="F35" s="22">
        <f>E35*0.2</f>
        <v>696.6</v>
      </c>
      <c r="G35" s="23">
        <f t="shared" si="1"/>
        <v>4179.6000000000004</v>
      </c>
      <c r="H35" s="23"/>
      <c r="I35" s="23"/>
      <c r="J35" s="23">
        <f>G35*4%</f>
        <v>167.18400000000003</v>
      </c>
      <c r="K35" s="23"/>
      <c r="L35" s="23"/>
      <c r="M35" s="23"/>
      <c r="N35" s="23"/>
      <c r="O35" s="23"/>
      <c r="P35" s="23">
        <f>8000-E35</f>
        <v>4517</v>
      </c>
      <c r="Q35" s="23"/>
      <c r="R35" s="23">
        <f>G35+J35+P35</f>
        <v>8863.7839999999997</v>
      </c>
      <c r="S35" s="25">
        <f t="shared" si="5"/>
        <v>35455.135999999999</v>
      </c>
    </row>
    <row r="36" spans="1:19" ht="18" customHeight="1" x14ac:dyDescent="0.25">
      <c r="A36" s="20" t="s">
        <v>71</v>
      </c>
      <c r="B36" s="21" t="s">
        <v>72</v>
      </c>
      <c r="C36" s="22">
        <v>1</v>
      </c>
      <c r="D36" s="22">
        <v>1</v>
      </c>
      <c r="E36" s="23">
        <v>3195</v>
      </c>
      <c r="F36" s="22"/>
      <c r="G36" s="23">
        <f t="shared" si="1"/>
        <v>3195</v>
      </c>
      <c r="H36" s="23"/>
      <c r="I36" s="23"/>
      <c r="J36" s="23"/>
      <c r="K36" s="23"/>
      <c r="L36" s="23"/>
      <c r="M36" s="23"/>
      <c r="N36" s="23"/>
      <c r="O36" s="23"/>
      <c r="P36" s="23">
        <f>8000-G36</f>
        <v>4805</v>
      </c>
      <c r="Q36" s="23"/>
      <c r="R36" s="23">
        <f t="shared" ref="R36" si="8">G36+H36+I36+ J36+K36+L36+N36+O36+P36</f>
        <v>8000</v>
      </c>
      <c r="S36" s="25">
        <f t="shared" si="5"/>
        <v>32000</v>
      </c>
    </row>
    <row r="37" spans="1:19" x14ac:dyDescent="0.25">
      <c r="A37" s="20" t="s">
        <v>73</v>
      </c>
      <c r="B37" s="21" t="s">
        <v>74</v>
      </c>
      <c r="C37" s="22">
        <v>1</v>
      </c>
      <c r="D37" s="22">
        <v>5</v>
      </c>
      <c r="E37" s="23">
        <v>4345</v>
      </c>
      <c r="F37" s="23"/>
      <c r="G37" s="23">
        <f>E37+F37</f>
        <v>4345</v>
      </c>
      <c r="H37" s="23"/>
      <c r="I37" s="23"/>
      <c r="J37" s="23"/>
      <c r="K37" s="23"/>
      <c r="L37" s="23"/>
      <c r="M37" s="23"/>
      <c r="N37" s="23"/>
      <c r="O37" s="23"/>
      <c r="P37" s="23">
        <f>8000-G37</f>
        <v>3655</v>
      </c>
      <c r="Q37" s="32"/>
      <c r="R37" s="23">
        <f>G37+P37</f>
        <v>8000</v>
      </c>
      <c r="S37" s="25">
        <f t="shared" si="5"/>
        <v>32000</v>
      </c>
    </row>
    <row r="38" spans="1:19" s="27" customFormat="1" ht="20.399999999999999" customHeight="1" thickBot="1" x14ac:dyDescent="0.3">
      <c r="A38" s="64"/>
      <c r="B38" s="47" t="s">
        <v>59</v>
      </c>
      <c r="C38" s="34">
        <f>SUM(C29:C37)</f>
        <v>8</v>
      </c>
      <c r="D38" s="34"/>
      <c r="E38" s="35">
        <f>SUM(E29:E37)</f>
        <v>29729.5</v>
      </c>
      <c r="F38" s="34">
        <f>SUM(F29:F37)</f>
        <v>696.6</v>
      </c>
      <c r="G38" s="35">
        <f>E38+F38</f>
        <v>30426.1</v>
      </c>
      <c r="H38" s="35"/>
      <c r="I38" s="35">
        <f>SUM(I29:I36)</f>
        <v>0</v>
      </c>
      <c r="J38" s="35">
        <f>SUM(J29:J36)</f>
        <v>167.18400000000003</v>
      </c>
      <c r="K38" s="35"/>
      <c r="L38" s="35"/>
      <c r="M38" s="35"/>
      <c r="N38" s="35"/>
      <c r="O38" s="35"/>
      <c r="P38" s="35">
        <f>SUM(P29:P37)</f>
        <v>34270.5</v>
      </c>
      <c r="Q38" s="35"/>
      <c r="R38" s="35">
        <f>SUM(R29:R37)</f>
        <v>64863.784</v>
      </c>
      <c r="S38" s="36">
        <f>SUM(S29:S37)</f>
        <v>259455.136</v>
      </c>
    </row>
    <row r="39" spans="1:19" ht="15.6" customHeight="1" x14ac:dyDescent="0.25">
      <c r="A39" s="18"/>
      <c r="B39" s="86" t="s">
        <v>75</v>
      </c>
      <c r="C39" s="85"/>
      <c r="D39" s="85"/>
      <c r="E39" s="85"/>
      <c r="F39" s="85"/>
      <c r="G39" s="94"/>
      <c r="H39" s="85" t="s">
        <v>76</v>
      </c>
      <c r="I39" s="95"/>
      <c r="J39" s="95"/>
      <c r="K39" s="85"/>
      <c r="L39" s="95"/>
      <c r="M39" s="95"/>
      <c r="N39" s="95"/>
      <c r="O39" s="95"/>
      <c r="P39" s="95"/>
      <c r="Q39" s="85"/>
      <c r="R39" s="85"/>
      <c r="S39" s="96"/>
    </row>
    <row r="40" spans="1:19" s="13" customFormat="1" x14ac:dyDescent="0.2">
      <c r="A40" s="28" t="s">
        <v>77</v>
      </c>
      <c r="B40" s="21" t="s">
        <v>78</v>
      </c>
      <c r="C40" s="22">
        <v>2.5</v>
      </c>
      <c r="D40" s="22">
        <v>2</v>
      </c>
      <c r="E40" s="23">
        <f>3483*C40</f>
        <v>8707.5</v>
      </c>
      <c r="F40" s="22"/>
      <c r="G40" s="23">
        <f t="shared" ref="G40:G41" si="9">E40+F40</f>
        <v>8707.5</v>
      </c>
      <c r="H40" s="23"/>
      <c r="I40" s="23"/>
      <c r="J40" s="23"/>
      <c r="K40" s="23"/>
      <c r="L40" s="23"/>
      <c r="M40" s="23"/>
      <c r="N40" s="23"/>
      <c r="O40" s="23"/>
      <c r="P40" s="23">
        <f>8000*C40-G40</f>
        <v>11292.5</v>
      </c>
      <c r="Q40" s="23"/>
      <c r="R40" s="23">
        <f t="shared" ref="R40" si="10">G40+H40+I40+ J40+K40+L40+N40+O40+P40</f>
        <v>20000</v>
      </c>
      <c r="S40" s="25">
        <f>R40*4</f>
        <v>80000</v>
      </c>
    </row>
    <row r="41" spans="1:19" s="37" customFormat="1" ht="16.8" customHeight="1" thickBot="1" x14ac:dyDescent="0.3">
      <c r="A41" s="33"/>
      <c r="B41" s="47" t="s">
        <v>59</v>
      </c>
      <c r="C41" s="34">
        <f>SUM(C40:C40)</f>
        <v>2.5</v>
      </c>
      <c r="D41" s="34"/>
      <c r="E41" s="35">
        <f>SUM(E40:E40)</f>
        <v>8707.5</v>
      </c>
      <c r="F41" s="34"/>
      <c r="G41" s="35">
        <f t="shared" si="9"/>
        <v>8707.5</v>
      </c>
      <c r="H41" s="35"/>
      <c r="I41" s="35"/>
      <c r="J41" s="35"/>
      <c r="K41" s="35"/>
      <c r="L41" s="35"/>
      <c r="M41" s="35"/>
      <c r="N41" s="35"/>
      <c r="O41" s="35"/>
      <c r="P41" s="35">
        <f>SUM(P40:P40)</f>
        <v>11292.5</v>
      </c>
      <c r="Q41" s="35"/>
      <c r="R41" s="35">
        <f>SUM(G41:Q41)</f>
        <v>20000</v>
      </c>
      <c r="S41" s="36">
        <f>SUM(S40:S40)</f>
        <v>80000</v>
      </c>
    </row>
    <row r="42" spans="1:19" s="38" customFormat="1" ht="17.399999999999999" customHeight="1" x14ac:dyDescent="0.25">
      <c r="A42" s="18"/>
      <c r="B42" s="86" t="s">
        <v>79</v>
      </c>
      <c r="C42" s="86"/>
      <c r="D42" s="86"/>
      <c r="E42" s="86"/>
      <c r="F42" s="86"/>
      <c r="G42" s="94"/>
      <c r="H42" s="86"/>
      <c r="I42" s="19"/>
      <c r="J42" s="19"/>
      <c r="K42" s="86"/>
      <c r="L42" s="19"/>
      <c r="M42" s="19"/>
      <c r="N42" s="19"/>
      <c r="O42" s="19"/>
      <c r="P42" s="19"/>
      <c r="Q42" s="86"/>
      <c r="R42" s="86"/>
      <c r="S42" s="87"/>
    </row>
    <row r="43" spans="1:19" s="38" customFormat="1" ht="16.95" customHeight="1" x14ac:dyDescent="0.25">
      <c r="A43" s="20" t="s">
        <v>80</v>
      </c>
      <c r="B43" s="21" t="s">
        <v>64</v>
      </c>
      <c r="C43" s="22">
        <v>0.5</v>
      </c>
      <c r="D43" s="22">
        <v>1</v>
      </c>
      <c r="E43" s="22">
        <v>1597.5</v>
      </c>
      <c r="F43" s="22"/>
      <c r="G43" s="22">
        <v>1597.5</v>
      </c>
      <c r="H43" s="22"/>
      <c r="I43" s="24"/>
      <c r="J43" s="24"/>
      <c r="K43" s="22"/>
      <c r="L43" s="24"/>
      <c r="M43" s="24"/>
      <c r="N43" s="24"/>
      <c r="O43" s="24"/>
      <c r="P43" s="23">
        <f>8000/2-G43</f>
        <v>2402.5</v>
      </c>
      <c r="Q43" s="22"/>
      <c r="R43" s="23">
        <f t="shared" ref="R43" si="11">G43+H43+I43+ J43+K43+L43+N43+O43+P43</f>
        <v>4000</v>
      </c>
      <c r="S43" s="25">
        <f>R43*4</f>
        <v>16000</v>
      </c>
    </row>
    <row r="44" spans="1:19" x14ac:dyDescent="0.25">
      <c r="A44" s="20" t="s">
        <v>81</v>
      </c>
      <c r="B44" s="21" t="s">
        <v>82</v>
      </c>
      <c r="C44" s="22">
        <v>2</v>
      </c>
      <c r="D44" s="22">
        <v>4</v>
      </c>
      <c r="E44" s="23">
        <f>4058*C44</f>
        <v>8116</v>
      </c>
      <c r="F44" s="22"/>
      <c r="G44" s="23">
        <f t="shared" ref="G44:G45" si="12">E44+F44</f>
        <v>8116</v>
      </c>
      <c r="H44" s="23"/>
      <c r="I44" s="23"/>
      <c r="J44" s="23">
        <f>G44*0.04</f>
        <v>324.64</v>
      </c>
      <c r="K44" s="23"/>
      <c r="L44" s="23"/>
      <c r="M44" s="23"/>
      <c r="N44" s="23"/>
      <c r="O44" s="23"/>
      <c r="P44" s="23">
        <f>8000*C44-G44</f>
        <v>7884</v>
      </c>
      <c r="Q44" s="23"/>
      <c r="R44" s="23">
        <f>SUM(G44:P44)</f>
        <v>16324.64</v>
      </c>
      <c r="S44" s="25">
        <f t="shared" ref="S44:S45" si="13">R44*4</f>
        <v>65298.559999999998</v>
      </c>
    </row>
    <row r="45" spans="1:19" x14ac:dyDescent="0.25">
      <c r="A45" s="20" t="s">
        <v>83</v>
      </c>
      <c r="B45" s="21" t="s">
        <v>84</v>
      </c>
      <c r="C45" s="22">
        <v>2</v>
      </c>
      <c r="D45" s="22">
        <v>1</v>
      </c>
      <c r="E45" s="23">
        <f>3195*C45</f>
        <v>6390</v>
      </c>
      <c r="F45" s="22"/>
      <c r="G45" s="23">
        <f t="shared" si="12"/>
        <v>6390</v>
      </c>
      <c r="H45" s="23"/>
      <c r="I45" s="23">
        <f>G45*0.1</f>
        <v>639</v>
      </c>
      <c r="J45" s="23"/>
      <c r="K45" s="23"/>
      <c r="L45" s="23"/>
      <c r="M45" s="23"/>
      <c r="N45" s="23"/>
      <c r="O45" s="23"/>
      <c r="P45" s="23">
        <f>8000*C45-G45</f>
        <v>9610</v>
      </c>
      <c r="Q45" s="23"/>
      <c r="R45" s="23">
        <f>SUM(G45:P45)</f>
        <v>16639</v>
      </c>
      <c r="S45" s="25">
        <f t="shared" si="13"/>
        <v>66556</v>
      </c>
    </row>
    <row r="46" spans="1:19" s="37" customFormat="1" ht="18" customHeight="1" thickBot="1" x14ac:dyDescent="0.3">
      <c r="A46" s="33"/>
      <c r="B46" s="47" t="s">
        <v>59</v>
      </c>
      <c r="C46" s="34">
        <f>SUM(C43:C45)</f>
        <v>4.5</v>
      </c>
      <c r="D46" s="34"/>
      <c r="E46" s="35">
        <f>SUM(E43:E45)</f>
        <v>16103.5</v>
      </c>
      <c r="F46" s="34"/>
      <c r="G46" s="35">
        <f>SUM(G43:G45)</f>
        <v>16103.5</v>
      </c>
      <c r="H46" s="35"/>
      <c r="I46" s="35">
        <f>SUM(I45:I45)</f>
        <v>639</v>
      </c>
      <c r="J46" s="35">
        <f>SUM(J44:J45)</f>
        <v>324.64</v>
      </c>
      <c r="K46" s="35"/>
      <c r="L46" s="35"/>
      <c r="M46" s="35"/>
      <c r="N46" s="35"/>
      <c r="O46" s="35"/>
      <c r="P46" s="35">
        <f>SUM(P43:P45)</f>
        <v>19896.5</v>
      </c>
      <c r="Q46" s="35"/>
      <c r="R46" s="35">
        <f>SUM(R43:R45)</f>
        <v>36963.64</v>
      </c>
      <c r="S46" s="36">
        <f>SUM(S43:S45)</f>
        <v>147854.56</v>
      </c>
    </row>
    <row r="47" spans="1:19" s="39" customFormat="1" ht="13.5" customHeight="1" x14ac:dyDescent="0.25">
      <c r="A47" s="98" t="s">
        <v>316</v>
      </c>
      <c r="B47" s="99" t="s">
        <v>85</v>
      </c>
      <c r="C47" s="100"/>
      <c r="D47" s="100"/>
      <c r="E47" s="101"/>
      <c r="F47" s="100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2"/>
    </row>
    <row r="48" spans="1:19" s="42" customFormat="1" x14ac:dyDescent="0.25">
      <c r="A48" s="43" t="s">
        <v>86</v>
      </c>
      <c r="B48" s="21" t="s">
        <v>87</v>
      </c>
      <c r="C48" s="22">
        <v>0.5</v>
      </c>
      <c r="D48" s="22">
        <v>10</v>
      </c>
      <c r="E48" s="23">
        <f>5815*C48</f>
        <v>2907.5</v>
      </c>
      <c r="F48" s="22"/>
      <c r="G48" s="23">
        <f>E48</f>
        <v>2907.5</v>
      </c>
      <c r="H48" s="23"/>
      <c r="I48" s="23"/>
      <c r="J48" s="40"/>
      <c r="K48" s="23">
        <f>G48*0.3</f>
        <v>872.25</v>
      </c>
      <c r="L48" s="41">
        <f>20000*C48-G48-K48</f>
        <v>6220.25</v>
      </c>
      <c r="M48" s="23"/>
      <c r="N48" s="23"/>
      <c r="O48" s="23"/>
      <c r="P48" s="23"/>
      <c r="Q48" s="23"/>
      <c r="R48" s="23">
        <f>G48+K48+L48</f>
        <v>10000</v>
      </c>
      <c r="S48" s="25">
        <f>R48*4</f>
        <v>40000</v>
      </c>
    </row>
    <row r="49" spans="1:20" s="42" customFormat="1" x14ac:dyDescent="0.25">
      <c r="A49" s="43" t="s">
        <v>88</v>
      </c>
      <c r="B49" s="21" t="s">
        <v>89</v>
      </c>
      <c r="C49" s="22">
        <v>3</v>
      </c>
      <c r="D49" s="22">
        <v>9</v>
      </c>
      <c r="E49" s="23">
        <f>5527*C49</f>
        <v>16581</v>
      </c>
      <c r="F49" s="22"/>
      <c r="G49" s="23">
        <f>E49</f>
        <v>16581</v>
      </c>
      <c r="H49" s="23"/>
      <c r="I49" s="23"/>
      <c r="J49" s="40"/>
      <c r="K49" s="23"/>
      <c r="L49" s="41">
        <f>15000*C49-G49-K49</f>
        <v>28419</v>
      </c>
      <c r="M49" s="23"/>
      <c r="N49" s="23"/>
      <c r="O49" s="23"/>
      <c r="P49" s="23"/>
      <c r="Q49" s="23"/>
      <c r="R49" s="23">
        <f>G49+K49+L49</f>
        <v>45000</v>
      </c>
      <c r="S49" s="25">
        <f t="shared" ref="S49:S53" si="14">R49*4</f>
        <v>180000</v>
      </c>
    </row>
    <row r="50" spans="1:20" s="42" customFormat="1" x14ac:dyDescent="0.25">
      <c r="A50" s="43" t="s">
        <v>90</v>
      </c>
      <c r="B50" s="21" t="s">
        <v>91</v>
      </c>
      <c r="C50" s="22">
        <v>1</v>
      </c>
      <c r="D50" s="22">
        <v>10</v>
      </c>
      <c r="E50" s="23">
        <v>5815</v>
      </c>
      <c r="F50" s="22"/>
      <c r="G50" s="23">
        <v>5815</v>
      </c>
      <c r="H50" s="23"/>
      <c r="I50" s="23"/>
      <c r="J50" s="40"/>
      <c r="K50" s="23">
        <f>G50*0.3</f>
        <v>1744.5</v>
      </c>
      <c r="L50" s="41">
        <f>13500-G50-K50</f>
        <v>5940.5</v>
      </c>
      <c r="M50" s="23"/>
      <c r="N50" s="23"/>
      <c r="O50" s="23"/>
      <c r="P50" s="23"/>
      <c r="Q50" s="23"/>
      <c r="R50" s="23">
        <f>G50+K50+L50</f>
        <v>13500</v>
      </c>
      <c r="S50" s="25">
        <f t="shared" si="14"/>
        <v>54000</v>
      </c>
    </row>
    <row r="51" spans="1:20" s="42" customFormat="1" x14ac:dyDescent="0.25">
      <c r="A51" s="43" t="s">
        <v>92</v>
      </c>
      <c r="B51" s="21" t="s">
        <v>93</v>
      </c>
      <c r="C51" s="22">
        <v>1</v>
      </c>
      <c r="D51" s="22">
        <v>4</v>
      </c>
      <c r="E51" s="23">
        <v>4058</v>
      </c>
      <c r="F51" s="22"/>
      <c r="G51" s="23">
        <v>4058</v>
      </c>
      <c r="H51" s="23"/>
      <c r="I51" s="23"/>
      <c r="J51" s="40"/>
      <c r="K51" s="23"/>
      <c r="L51" s="23"/>
      <c r="M51" s="23"/>
      <c r="N51" s="23"/>
      <c r="O51" s="23">
        <f>G51*200%</f>
        <v>8116</v>
      </c>
      <c r="P51" s="23"/>
      <c r="Q51" s="23"/>
      <c r="R51" s="23">
        <f>O51+G51</f>
        <v>12174</v>
      </c>
      <c r="S51" s="25">
        <f t="shared" si="14"/>
        <v>48696</v>
      </c>
    </row>
    <row r="52" spans="1:20" s="42" customFormat="1" x14ac:dyDescent="0.25">
      <c r="A52" s="43" t="s">
        <v>94</v>
      </c>
      <c r="B52" s="21" t="s">
        <v>95</v>
      </c>
      <c r="C52" s="22">
        <v>1</v>
      </c>
      <c r="D52" s="22">
        <v>5</v>
      </c>
      <c r="E52" s="23">
        <v>4345</v>
      </c>
      <c r="F52" s="23"/>
      <c r="G52" s="23">
        <f>E52+F52</f>
        <v>4345</v>
      </c>
      <c r="H52" s="23"/>
      <c r="I52" s="23"/>
      <c r="J52" s="23"/>
      <c r="K52" s="23"/>
      <c r="L52" s="23"/>
      <c r="M52" s="23"/>
      <c r="N52" s="23"/>
      <c r="O52" s="23"/>
      <c r="P52" s="23">
        <f>8000-G52</f>
        <v>3655</v>
      </c>
      <c r="Q52" s="32"/>
      <c r="R52" s="23">
        <f>G52+P52</f>
        <v>8000</v>
      </c>
      <c r="S52" s="25">
        <f t="shared" si="14"/>
        <v>32000</v>
      </c>
    </row>
    <row r="53" spans="1:20" x14ac:dyDescent="0.25">
      <c r="A53" s="43" t="s">
        <v>96</v>
      </c>
      <c r="B53" s="21" t="s">
        <v>97</v>
      </c>
      <c r="C53" s="22">
        <v>0.5</v>
      </c>
      <c r="D53" s="22">
        <v>9</v>
      </c>
      <c r="E53" s="23">
        <v>2763.5</v>
      </c>
      <c r="F53" s="22"/>
      <c r="G53" s="23">
        <f t="shared" ref="G53" si="15">E53+F53</f>
        <v>2763.5</v>
      </c>
      <c r="H53" s="23"/>
      <c r="I53" s="23"/>
      <c r="J53" s="23"/>
      <c r="K53" s="23">
        <f>G53*0.3</f>
        <v>829.05</v>
      </c>
      <c r="L53" s="23">
        <f>6750-G53-K53</f>
        <v>3157.45</v>
      </c>
      <c r="M53" s="23"/>
      <c r="N53" s="23"/>
      <c r="O53" s="23"/>
      <c r="P53" s="23"/>
      <c r="Q53" s="23"/>
      <c r="R53" s="23">
        <f>L53+K53+G53</f>
        <v>6750</v>
      </c>
      <c r="S53" s="25">
        <f t="shared" si="14"/>
        <v>27000</v>
      </c>
    </row>
    <row r="54" spans="1:20" s="45" customFormat="1" ht="13.8" customHeight="1" thickBot="1" x14ac:dyDescent="0.25">
      <c r="A54" s="103"/>
      <c r="B54" s="104" t="s">
        <v>59</v>
      </c>
      <c r="C54" s="105">
        <f>SUM(C48:C53)</f>
        <v>7</v>
      </c>
      <c r="D54" s="105"/>
      <c r="E54" s="106">
        <f>SUM(E48:E53)</f>
        <v>36470</v>
      </c>
      <c r="F54" s="105"/>
      <c r="G54" s="106">
        <f>SUM(G48:G53)</f>
        <v>36470</v>
      </c>
      <c r="H54" s="106"/>
      <c r="I54" s="106"/>
      <c r="J54" s="106"/>
      <c r="K54" s="106">
        <f>SUM(K48:K53)</f>
        <v>3445.8</v>
      </c>
      <c r="L54" s="106">
        <f>SUM(L48:L53)</f>
        <v>43737.2</v>
      </c>
      <c r="M54" s="106"/>
      <c r="N54" s="106"/>
      <c r="O54" s="106">
        <f>SUM(O48:O52)</f>
        <v>8116</v>
      </c>
      <c r="P54" s="106">
        <f>SUM(P48:P53)</f>
        <v>3655</v>
      </c>
      <c r="Q54" s="106"/>
      <c r="R54" s="106">
        <f>SUM(R48:R53)</f>
        <v>95424</v>
      </c>
      <c r="S54" s="107">
        <f>SUM(S48:S53)</f>
        <v>381696</v>
      </c>
    </row>
    <row r="55" spans="1:20" s="38" customFormat="1" ht="22.8" customHeight="1" x14ac:dyDescent="0.25">
      <c r="A55" s="108"/>
      <c r="B55" s="86" t="s">
        <v>98</v>
      </c>
      <c r="C55" s="85"/>
      <c r="D55" s="85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109"/>
      <c r="R55" s="94"/>
      <c r="S55" s="110"/>
      <c r="T55" s="46"/>
    </row>
    <row r="56" spans="1:20" s="38" customFormat="1" x14ac:dyDescent="0.25">
      <c r="A56" s="43" t="s">
        <v>99</v>
      </c>
      <c r="B56" s="21" t="s">
        <v>100</v>
      </c>
      <c r="C56" s="22">
        <v>0.25</v>
      </c>
      <c r="D56" s="22">
        <v>14</v>
      </c>
      <c r="E56" s="23">
        <f>7732*C56</f>
        <v>1933</v>
      </c>
      <c r="F56" s="23">
        <f>E56*10%</f>
        <v>193.3</v>
      </c>
      <c r="G56" s="23">
        <f>E56+F56</f>
        <v>2126.3000000000002</v>
      </c>
      <c r="H56" s="23"/>
      <c r="I56" s="23"/>
      <c r="J56" s="23"/>
      <c r="K56" s="23">
        <f>G56*0.3</f>
        <v>637.89</v>
      </c>
      <c r="L56" s="23">
        <f>20000*C56-G56-K56</f>
        <v>2235.81</v>
      </c>
      <c r="M56" s="23"/>
      <c r="N56" s="23"/>
      <c r="O56" s="23"/>
      <c r="P56" s="23"/>
      <c r="Q56" s="32"/>
      <c r="R56" s="23">
        <f>G56+K56+L56</f>
        <v>5000</v>
      </c>
      <c r="S56" s="25">
        <f>R56*4</f>
        <v>20000</v>
      </c>
      <c r="T56" s="46"/>
    </row>
    <row r="57" spans="1:20" s="38" customFormat="1" x14ac:dyDescent="0.25">
      <c r="A57" s="43" t="s">
        <v>101</v>
      </c>
      <c r="B57" s="21" t="s">
        <v>102</v>
      </c>
      <c r="C57" s="22">
        <v>0.5</v>
      </c>
      <c r="D57" s="22">
        <v>13</v>
      </c>
      <c r="E57" s="23">
        <v>3626</v>
      </c>
      <c r="F57" s="23">
        <f>E57*0.15</f>
        <v>543.9</v>
      </c>
      <c r="G57" s="23">
        <f>E57+F57</f>
        <v>4169.8999999999996</v>
      </c>
      <c r="H57" s="23"/>
      <c r="I57" s="23"/>
      <c r="J57" s="23"/>
      <c r="K57" s="23">
        <f>G57*0.3</f>
        <v>1250.9699999999998</v>
      </c>
      <c r="L57" s="23">
        <f>20000*C57-G57-K57</f>
        <v>4579.130000000001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ref="S57:S59" si="16">R57*4</f>
        <v>40000</v>
      </c>
      <c r="T57" s="46"/>
    </row>
    <row r="58" spans="1:20" s="38" customFormat="1" x14ac:dyDescent="0.25">
      <c r="A58" s="43" t="s">
        <v>103</v>
      </c>
      <c r="B58" s="21" t="s">
        <v>104</v>
      </c>
      <c r="C58" s="22">
        <v>0.5</v>
      </c>
      <c r="D58" s="22">
        <v>13</v>
      </c>
      <c r="E58" s="23">
        <v>3626</v>
      </c>
      <c r="F58" s="23">
        <f>E58*0.15</f>
        <v>543.9</v>
      </c>
      <c r="G58" s="23">
        <f>E58+F58</f>
        <v>4169.8999999999996</v>
      </c>
      <c r="H58" s="23"/>
      <c r="I58" s="23"/>
      <c r="J58" s="23"/>
      <c r="K58" s="23">
        <f>G58*0.3</f>
        <v>1250.9699999999998</v>
      </c>
      <c r="L58" s="23">
        <f>10000-G58-K58</f>
        <v>4579.130000000001</v>
      </c>
      <c r="M58" s="23"/>
      <c r="N58" s="23"/>
      <c r="O58" s="23"/>
      <c r="P58" s="23"/>
      <c r="Q58" s="32"/>
      <c r="R58" s="23">
        <f>G58+K58+L58</f>
        <v>10000</v>
      </c>
      <c r="S58" s="25">
        <f t="shared" si="16"/>
        <v>40000</v>
      </c>
      <c r="T58" s="46"/>
    </row>
    <row r="59" spans="1:20" s="38" customFormat="1" x14ac:dyDescent="0.25">
      <c r="A59" s="43" t="s">
        <v>105</v>
      </c>
      <c r="B59" s="21" t="s">
        <v>106</v>
      </c>
      <c r="C59" s="22">
        <v>1</v>
      </c>
      <c r="D59" s="22">
        <v>5</v>
      </c>
      <c r="E59" s="23">
        <v>4345</v>
      </c>
      <c r="F59" s="23"/>
      <c r="G59" s="23">
        <f>E59+F59</f>
        <v>4345</v>
      </c>
      <c r="H59" s="23"/>
      <c r="I59" s="23"/>
      <c r="J59" s="23"/>
      <c r="K59" s="23"/>
      <c r="L59" s="23"/>
      <c r="M59" s="23"/>
      <c r="N59" s="23"/>
      <c r="O59" s="23"/>
      <c r="P59" s="23">
        <f>8000-G59</f>
        <v>3655</v>
      </c>
      <c r="Q59" s="32"/>
      <c r="R59" s="23">
        <f>G59+P59</f>
        <v>8000</v>
      </c>
      <c r="S59" s="25">
        <f t="shared" si="16"/>
        <v>32000</v>
      </c>
      <c r="T59" s="46"/>
    </row>
    <row r="60" spans="1:20" s="49" customFormat="1" ht="20.399999999999999" customHeight="1" thickBot="1" x14ac:dyDescent="0.3">
      <c r="A60" s="64"/>
      <c r="B60" s="47" t="s">
        <v>59</v>
      </c>
      <c r="C60" s="34">
        <v>2.25</v>
      </c>
      <c r="D60" s="34"/>
      <c r="E60" s="35">
        <f>SUM(E56:E59)</f>
        <v>13530</v>
      </c>
      <c r="F60" s="35">
        <f t="shared" ref="F60" si="17">SUM(F56:F59)</f>
        <v>1281.0999999999999</v>
      </c>
      <c r="G60" s="35">
        <f>SUM(G56:G59)</f>
        <v>14811.099999999999</v>
      </c>
      <c r="H60" s="35"/>
      <c r="I60" s="35"/>
      <c r="J60" s="35"/>
      <c r="K60" s="35">
        <f t="shared" ref="K60:L60" si="18">SUM(K56:K59)</f>
        <v>3139.8299999999995</v>
      </c>
      <c r="L60" s="35">
        <f t="shared" si="18"/>
        <v>11394.070000000002</v>
      </c>
      <c r="M60" s="35"/>
      <c r="N60" s="35"/>
      <c r="O60" s="35"/>
      <c r="P60" s="35">
        <f t="shared" ref="P60:Q60" si="19">SUM(P56:P59)</f>
        <v>3655</v>
      </c>
      <c r="Q60" s="35">
        <f t="shared" si="19"/>
        <v>0</v>
      </c>
      <c r="R60" s="35">
        <f>SUM(G60:Q60)</f>
        <v>33000</v>
      </c>
      <c r="S60" s="36">
        <f>SUM(S56:S59)</f>
        <v>132000</v>
      </c>
      <c r="T60" s="48"/>
    </row>
    <row r="61" spans="1:20" ht="24" customHeight="1" x14ac:dyDescent="0.25">
      <c r="A61" s="18"/>
      <c r="B61" s="86" t="s">
        <v>107</v>
      </c>
      <c r="C61" s="86"/>
      <c r="D61" s="86"/>
      <c r="E61" s="92"/>
      <c r="F61" s="86"/>
      <c r="G61" s="94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3"/>
    </row>
    <row r="62" spans="1:20" s="13" customFormat="1" ht="38.4" customHeight="1" x14ac:dyDescent="0.2">
      <c r="A62" s="28"/>
      <c r="B62" s="29" t="s">
        <v>108</v>
      </c>
      <c r="C62" s="22"/>
      <c r="D62" s="22"/>
      <c r="E62" s="23"/>
      <c r="F62" s="22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5"/>
    </row>
    <row r="63" spans="1:20" ht="13.95" customHeight="1" x14ac:dyDescent="0.25">
      <c r="A63" s="20" t="s">
        <v>109</v>
      </c>
      <c r="B63" s="21" t="s">
        <v>110</v>
      </c>
      <c r="C63" s="22">
        <v>1</v>
      </c>
      <c r="D63" s="22">
        <v>11</v>
      </c>
      <c r="E63" s="23">
        <v>6294</v>
      </c>
      <c r="F63" s="22">
        <f>E63*0.25</f>
        <v>1573.5</v>
      </c>
      <c r="G63" s="23">
        <f t="shared" ref="G63:G126" si="20">E63+F63</f>
        <v>7867.5</v>
      </c>
      <c r="H63" s="23"/>
      <c r="I63" s="23"/>
      <c r="J63" s="23"/>
      <c r="K63" s="23">
        <f>G63*0.3</f>
        <v>2360.25</v>
      </c>
      <c r="L63" s="41">
        <f>20000-G63-K63</f>
        <v>9772.25</v>
      </c>
      <c r="M63" s="23"/>
      <c r="N63" s="23"/>
      <c r="O63" s="23"/>
      <c r="P63" s="23"/>
      <c r="Q63" s="23"/>
      <c r="R63" s="23">
        <f t="shared" ref="R63:R75" si="21">G63+K63+L63</f>
        <v>20000</v>
      </c>
      <c r="S63" s="25">
        <f>R63*4</f>
        <v>80000</v>
      </c>
    </row>
    <row r="64" spans="1:20" x14ac:dyDescent="0.25">
      <c r="A64" s="20" t="s">
        <v>111</v>
      </c>
      <c r="B64" s="21" t="s">
        <v>112</v>
      </c>
      <c r="C64" s="22">
        <v>1.25</v>
      </c>
      <c r="D64" s="22">
        <v>12</v>
      </c>
      <c r="E64" s="23">
        <f>6773*C64</f>
        <v>8466.25</v>
      </c>
      <c r="F64" s="22"/>
      <c r="G64" s="23">
        <f t="shared" si="20"/>
        <v>8466.25</v>
      </c>
      <c r="H64" s="23"/>
      <c r="I64" s="23"/>
      <c r="J64" s="23"/>
      <c r="K64" s="23">
        <f t="shared" ref="K64:K77" si="22">G64*0.3</f>
        <v>2539.875</v>
      </c>
      <c r="L64" s="23">
        <f>20000*C64-G64-K64</f>
        <v>13993.875</v>
      </c>
      <c r="M64" s="23"/>
      <c r="N64" s="23"/>
      <c r="O64" s="23"/>
      <c r="P64" s="23"/>
      <c r="Q64" s="23"/>
      <c r="R64" s="23">
        <f t="shared" si="21"/>
        <v>25000</v>
      </c>
      <c r="S64" s="25">
        <f t="shared" ref="S64:S80" si="23">R64*4</f>
        <v>100000</v>
      </c>
    </row>
    <row r="65" spans="1:20" x14ac:dyDescent="0.25">
      <c r="A65" s="20" t="s">
        <v>113</v>
      </c>
      <c r="B65" s="21" t="s">
        <v>114</v>
      </c>
      <c r="C65" s="22">
        <v>1</v>
      </c>
      <c r="D65" s="22">
        <v>14</v>
      </c>
      <c r="E65" s="23">
        <v>7732</v>
      </c>
      <c r="F65" s="22"/>
      <c r="G65" s="23">
        <f t="shared" si="20"/>
        <v>7732</v>
      </c>
      <c r="H65" s="23"/>
      <c r="I65" s="23"/>
      <c r="J65" s="23"/>
      <c r="K65" s="23">
        <f t="shared" si="22"/>
        <v>2319.6</v>
      </c>
      <c r="L65" s="41">
        <f>20000-G65-K65</f>
        <v>9948.4</v>
      </c>
      <c r="M65" s="23"/>
      <c r="N65" s="23"/>
      <c r="O65" s="23"/>
      <c r="P65" s="23"/>
      <c r="Q65" s="23"/>
      <c r="R65" s="23">
        <f t="shared" si="21"/>
        <v>20000</v>
      </c>
      <c r="S65" s="25">
        <f t="shared" si="23"/>
        <v>80000</v>
      </c>
    </row>
    <row r="66" spans="1:20" x14ac:dyDescent="0.25">
      <c r="A66" s="20" t="s">
        <v>115</v>
      </c>
      <c r="B66" s="21" t="s">
        <v>116</v>
      </c>
      <c r="C66" s="22">
        <v>0.5</v>
      </c>
      <c r="D66" s="22">
        <v>14</v>
      </c>
      <c r="E66" s="23">
        <v>3868</v>
      </c>
      <c r="F66" s="22"/>
      <c r="G66" s="23">
        <f t="shared" si="20"/>
        <v>3868</v>
      </c>
      <c r="H66" s="23"/>
      <c r="I66" s="23"/>
      <c r="J66" s="23"/>
      <c r="K66" s="23">
        <f t="shared" si="22"/>
        <v>1160.3999999999999</v>
      </c>
      <c r="L66" s="41">
        <f>20000/2-G66-K66</f>
        <v>4971.6000000000004</v>
      </c>
      <c r="M66" s="23"/>
      <c r="N66" s="23"/>
      <c r="O66" s="23"/>
      <c r="P66" s="23"/>
      <c r="Q66" s="23"/>
      <c r="R66" s="23">
        <f t="shared" si="21"/>
        <v>10000</v>
      </c>
      <c r="S66" s="25">
        <f t="shared" si="23"/>
        <v>40000</v>
      </c>
    </row>
    <row r="67" spans="1:20" x14ac:dyDescent="0.25">
      <c r="A67" s="20" t="s">
        <v>117</v>
      </c>
      <c r="B67" s="21" t="s">
        <v>118</v>
      </c>
      <c r="C67" s="22">
        <v>0.25</v>
      </c>
      <c r="D67" s="22">
        <v>14</v>
      </c>
      <c r="E67" s="23">
        <f>7732*C67</f>
        <v>1933</v>
      </c>
      <c r="F67" s="22"/>
      <c r="G67" s="23">
        <f t="shared" si="20"/>
        <v>1933</v>
      </c>
      <c r="H67" s="23"/>
      <c r="I67" s="23"/>
      <c r="J67" s="23"/>
      <c r="K67" s="23">
        <f t="shared" si="22"/>
        <v>579.9</v>
      </c>
      <c r="L67" s="41">
        <f>20000*C67-G67-K67</f>
        <v>2487.1</v>
      </c>
      <c r="M67" s="23"/>
      <c r="N67" s="23"/>
      <c r="O67" s="23"/>
      <c r="P67" s="23"/>
      <c r="Q67" s="23"/>
      <c r="R67" s="23">
        <f t="shared" si="21"/>
        <v>5000</v>
      </c>
      <c r="S67" s="25">
        <f t="shared" si="23"/>
        <v>20000</v>
      </c>
    </row>
    <row r="68" spans="1:20" x14ac:dyDescent="0.25">
      <c r="A68" s="20" t="s">
        <v>119</v>
      </c>
      <c r="B68" s="21" t="s">
        <v>120</v>
      </c>
      <c r="C68" s="22">
        <v>2.5</v>
      </c>
      <c r="D68" s="22">
        <v>13</v>
      </c>
      <c r="E68" s="23">
        <f>7253*C68</f>
        <v>18132.5</v>
      </c>
      <c r="F68" s="22"/>
      <c r="G68" s="23">
        <f t="shared" si="20"/>
        <v>18132.5</v>
      </c>
      <c r="H68" s="23"/>
      <c r="I68" s="23"/>
      <c r="J68" s="23"/>
      <c r="K68" s="23">
        <f t="shared" si="22"/>
        <v>5439.75</v>
      </c>
      <c r="L68" s="41">
        <f t="shared" ref="L68:L73" si="24">20000*C68-G68-K68-N68</f>
        <v>24229.85</v>
      </c>
      <c r="M68" s="23"/>
      <c r="N68" s="23">
        <f>879.16*C68</f>
        <v>2197.9</v>
      </c>
      <c r="O68" s="23"/>
      <c r="P68" s="23"/>
      <c r="Q68" s="23"/>
      <c r="R68" s="23">
        <f t="shared" ref="R68:R73" si="25">G68+K68+L68+N68</f>
        <v>50000</v>
      </c>
      <c r="S68" s="25">
        <f t="shared" si="23"/>
        <v>200000</v>
      </c>
    </row>
    <row r="69" spans="1:20" ht="11.4" customHeight="1" x14ac:dyDescent="0.25">
      <c r="A69" s="20" t="s">
        <v>119</v>
      </c>
      <c r="B69" s="21" t="s">
        <v>121</v>
      </c>
      <c r="C69" s="22">
        <v>0.5</v>
      </c>
      <c r="D69" s="22">
        <v>14</v>
      </c>
      <c r="E69" s="23">
        <f>7732*C69</f>
        <v>3866</v>
      </c>
      <c r="F69" s="22"/>
      <c r="G69" s="23">
        <f t="shared" si="20"/>
        <v>3866</v>
      </c>
      <c r="H69" s="23"/>
      <c r="I69" s="23"/>
      <c r="J69" s="23"/>
      <c r="K69" s="23">
        <f t="shared" si="22"/>
        <v>1159.8</v>
      </c>
      <c r="L69" s="41">
        <f t="shared" si="24"/>
        <v>4505.5999999999995</v>
      </c>
      <c r="M69" s="23"/>
      <c r="N69" s="23">
        <v>468.6</v>
      </c>
      <c r="O69" s="23"/>
      <c r="P69" s="23"/>
      <c r="Q69" s="23"/>
      <c r="R69" s="23">
        <f t="shared" si="25"/>
        <v>10000</v>
      </c>
      <c r="S69" s="25">
        <f t="shared" si="23"/>
        <v>40000</v>
      </c>
    </row>
    <row r="70" spans="1:20" x14ac:dyDescent="0.25">
      <c r="A70" s="20" t="s">
        <v>119</v>
      </c>
      <c r="B70" s="21" t="s">
        <v>122</v>
      </c>
      <c r="C70" s="22">
        <v>0.25</v>
      </c>
      <c r="D70" s="22">
        <v>14</v>
      </c>
      <c r="E70" s="23">
        <f>7732*C70</f>
        <v>1933</v>
      </c>
      <c r="F70" s="22"/>
      <c r="G70" s="23">
        <f t="shared" si="20"/>
        <v>1933</v>
      </c>
      <c r="H70" s="23"/>
      <c r="I70" s="23"/>
      <c r="J70" s="23"/>
      <c r="K70" s="23">
        <f t="shared" si="22"/>
        <v>579.9</v>
      </c>
      <c r="L70" s="41">
        <f t="shared" si="24"/>
        <v>2252.7999999999997</v>
      </c>
      <c r="M70" s="23"/>
      <c r="N70" s="23">
        <v>234.3</v>
      </c>
      <c r="O70" s="23"/>
      <c r="P70" s="23"/>
      <c r="Q70" s="23"/>
      <c r="R70" s="23">
        <f t="shared" si="25"/>
        <v>5000</v>
      </c>
      <c r="S70" s="25">
        <f t="shared" si="23"/>
        <v>20000</v>
      </c>
    </row>
    <row r="71" spans="1:20" x14ac:dyDescent="0.25">
      <c r="A71" s="20" t="s">
        <v>119</v>
      </c>
      <c r="B71" s="21" t="s">
        <v>123</v>
      </c>
      <c r="C71" s="22">
        <v>0.5</v>
      </c>
      <c r="D71" s="22">
        <v>14</v>
      </c>
      <c r="E71" s="23">
        <f>7732*C71</f>
        <v>3866</v>
      </c>
      <c r="F71" s="22"/>
      <c r="G71" s="23">
        <f t="shared" si="20"/>
        <v>3866</v>
      </c>
      <c r="H71" s="23"/>
      <c r="I71" s="23"/>
      <c r="J71" s="23"/>
      <c r="K71" s="23">
        <f t="shared" si="22"/>
        <v>1159.8</v>
      </c>
      <c r="L71" s="41">
        <f t="shared" si="24"/>
        <v>4739.8999999999996</v>
      </c>
      <c r="M71" s="23"/>
      <c r="N71" s="23">
        <v>234.3</v>
      </c>
      <c r="O71" s="23"/>
      <c r="P71" s="23"/>
      <c r="Q71" s="23"/>
      <c r="R71" s="23">
        <f t="shared" si="25"/>
        <v>10000</v>
      </c>
      <c r="S71" s="25">
        <f t="shared" si="23"/>
        <v>40000</v>
      </c>
    </row>
    <row r="72" spans="1:20" x14ac:dyDescent="0.25">
      <c r="A72" s="20" t="s">
        <v>119</v>
      </c>
      <c r="B72" s="21" t="s">
        <v>124</v>
      </c>
      <c r="C72" s="22">
        <v>1</v>
      </c>
      <c r="D72" s="22">
        <v>14</v>
      </c>
      <c r="E72" s="23">
        <f>7732*C72</f>
        <v>7732</v>
      </c>
      <c r="F72" s="22"/>
      <c r="G72" s="23">
        <f t="shared" si="20"/>
        <v>7732</v>
      </c>
      <c r="H72" s="23"/>
      <c r="I72" s="23"/>
      <c r="J72" s="23"/>
      <c r="K72" s="23">
        <f t="shared" si="22"/>
        <v>2319.6</v>
      </c>
      <c r="L72" s="41">
        <f t="shared" si="24"/>
        <v>9011.1999999999989</v>
      </c>
      <c r="M72" s="23"/>
      <c r="N72" s="23">
        <v>937.2</v>
      </c>
      <c r="O72" s="23"/>
      <c r="P72" s="23"/>
      <c r="Q72" s="23"/>
      <c r="R72" s="23">
        <f t="shared" si="25"/>
        <v>20000</v>
      </c>
      <c r="S72" s="25">
        <f t="shared" si="23"/>
        <v>80000</v>
      </c>
    </row>
    <row r="73" spans="1:20" x14ac:dyDescent="0.25">
      <c r="A73" s="20" t="s">
        <v>119</v>
      </c>
      <c r="B73" s="21" t="s">
        <v>125</v>
      </c>
      <c r="C73" s="22">
        <v>0.5</v>
      </c>
      <c r="D73" s="22">
        <v>13</v>
      </c>
      <c r="E73" s="23">
        <f>7253*C73</f>
        <v>3626.5</v>
      </c>
      <c r="F73" s="22"/>
      <c r="G73" s="23">
        <f t="shared" si="20"/>
        <v>3626.5</v>
      </c>
      <c r="H73" s="23"/>
      <c r="I73" s="23"/>
      <c r="J73" s="23"/>
      <c r="K73" s="23">
        <f t="shared" si="22"/>
        <v>1087.95</v>
      </c>
      <c r="L73" s="41">
        <f t="shared" si="24"/>
        <v>4845.97</v>
      </c>
      <c r="M73" s="23"/>
      <c r="N73" s="23">
        <f>879.16*C73</f>
        <v>439.58</v>
      </c>
      <c r="O73" s="23"/>
      <c r="P73" s="23"/>
      <c r="Q73" s="23"/>
      <c r="R73" s="23">
        <f t="shared" si="25"/>
        <v>10000</v>
      </c>
      <c r="S73" s="25">
        <f t="shared" si="23"/>
        <v>40000</v>
      </c>
    </row>
    <row r="74" spans="1:20" s="13" customFormat="1" x14ac:dyDescent="0.25">
      <c r="A74" s="20" t="s">
        <v>119</v>
      </c>
      <c r="B74" s="21" t="s">
        <v>126</v>
      </c>
      <c r="C74" s="22">
        <v>0.25</v>
      </c>
      <c r="D74" s="22">
        <v>14</v>
      </c>
      <c r="E74" s="23">
        <f>7732*C74</f>
        <v>1933</v>
      </c>
      <c r="F74" s="22"/>
      <c r="G74" s="23">
        <f>E74+F74</f>
        <v>1933</v>
      </c>
      <c r="H74" s="23"/>
      <c r="I74" s="23"/>
      <c r="J74" s="23"/>
      <c r="K74" s="23">
        <f t="shared" si="22"/>
        <v>579.9</v>
      </c>
      <c r="L74" s="23">
        <f>20000*C74-G74-K74</f>
        <v>2487.1</v>
      </c>
      <c r="M74" s="23"/>
      <c r="N74" s="23">
        <v>234.3</v>
      </c>
      <c r="O74" s="23"/>
      <c r="P74" s="23"/>
      <c r="Q74" s="23"/>
      <c r="R74" s="23">
        <f>G74+K74+L74</f>
        <v>5000</v>
      </c>
      <c r="S74" s="25">
        <f t="shared" si="23"/>
        <v>20000</v>
      </c>
      <c r="T74" s="52"/>
    </row>
    <row r="75" spans="1:20" x14ac:dyDescent="0.25">
      <c r="A75" s="20" t="s">
        <v>127</v>
      </c>
      <c r="B75" s="21" t="s">
        <v>128</v>
      </c>
      <c r="C75" s="22">
        <v>1</v>
      </c>
      <c r="D75" s="22">
        <v>9</v>
      </c>
      <c r="E75" s="23">
        <v>5527</v>
      </c>
      <c r="F75" s="22">
        <f>E75*0.1</f>
        <v>552.70000000000005</v>
      </c>
      <c r="G75" s="23">
        <f t="shared" si="20"/>
        <v>6079.7</v>
      </c>
      <c r="H75" s="23"/>
      <c r="I75" s="23"/>
      <c r="J75" s="23"/>
      <c r="K75" s="23">
        <f t="shared" si="22"/>
        <v>1823.9099999999999</v>
      </c>
      <c r="L75" s="41">
        <v>5596.39</v>
      </c>
      <c r="M75" s="23"/>
      <c r="N75" s="23"/>
      <c r="O75" s="23"/>
      <c r="P75" s="23"/>
      <c r="Q75" s="23"/>
      <c r="R75" s="23">
        <f t="shared" si="21"/>
        <v>13500</v>
      </c>
      <c r="S75" s="25">
        <f t="shared" si="23"/>
        <v>54000</v>
      </c>
    </row>
    <row r="76" spans="1:20" x14ac:dyDescent="0.25">
      <c r="A76" s="20" t="s">
        <v>129</v>
      </c>
      <c r="B76" s="21" t="s">
        <v>130</v>
      </c>
      <c r="C76" s="22">
        <v>10</v>
      </c>
      <c r="D76" s="22">
        <v>9</v>
      </c>
      <c r="E76" s="23">
        <f>5527*C76</f>
        <v>55270</v>
      </c>
      <c r="F76" s="22"/>
      <c r="G76" s="23">
        <f t="shared" si="20"/>
        <v>55270</v>
      </c>
      <c r="H76" s="23"/>
      <c r="I76" s="23">
        <f t="shared" ref="I76:I78" si="26">G76*0.1</f>
        <v>5527</v>
      </c>
      <c r="J76" s="23"/>
      <c r="K76" s="23">
        <f t="shared" si="22"/>
        <v>16581</v>
      </c>
      <c r="L76" s="41">
        <f>13500*C76-G76-I76-K76-N76</f>
        <v>50922.6</v>
      </c>
      <c r="M76" s="23"/>
      <c r="N76" s="23">
        <f>669.94*C76</f>
        <v>6699.4000000000005</v>
      </c>
      <c r="O76" s="23"/>
      <c r="P76" s="23"/>
      <c r="Q76" s="23"/>
      <c r="R76" s="23">
        <f>G76+I76+K76+L76+N76</f>
        <v>135000</v>
      </c>
      <c r="S76" s="25">
        <f t="shared" si="23"/>
        <v>540000</v>
      </c>
    </row>
    <row r="77" spans="1:20" x14ac:dyDescent="0.25">
      <c r="A77" s="20" t="s">
        <v>131</v>
      </c>
      <c r="B77" s="21" t="s">
        <v>132</v>
      </c>
      <c r="C77" s="22">
        <v>1</v>
      </c>
      <c r="D77" s="22">
        <v>6</v>
      </c>
      <c r="E77" s="23">
        <v>4633</v>
      </c>
      <c r="F77" s="22"/>
      <c r="G77" s="23">
        <f t="shared" si="20"/>
        <v>4633</v>
      </c>
      <c r="H77" s="23"/>
      <c r="I77" s="23">
        <f t="shared" si="26"/>
        <v>463.3</v>
      </c>
      <c r="J77" s="23"/>
      <c r="K77" s="23">
        <f t="shared" si="22"/>
        <v>1389.8999999999999</v>
      </c>
      <c r="L77" s="41">
        <f t="shared" ref="L77" si="27">13500-G77-I77-K77</f>
        <v>7013.8000000000011</v>
      </c>
      <c r="M77" s="23"/>
      <c r="N77" s="23"/>
      <c r="O77" s="23"/>
      <c r="P77" s="23"/>
      <c r="Q77" s="23"/>
      <c r="R77" s="23">
        <f t="shared" ref="R77" si="28">G77+I77+K77+L77</f>
        <v>13500</v>
      </c>
      <c r="S77" s="25">
        <f t="shared" si="23"/>
        <v>54000</v>
      </c>
    </row>
    <row r="78" spans="1:20" x14ac:dyDescent="0.25">
      <c r="A78" s="20" t="s">
        <v>133</v>
      </c>
      <c r="B78" s="21" t="s">
        <v>134</v>
      </c>
      <c r="C78" s="22">
        <v>6</v>
      </c>
      <c r="D78" s="22">
        <v>4</v>
      </c>
      <c r="E78" s="23">
        <f>4058*C78</f>
        <v>24348</v>
      </c>
      <c r="F78" s="22"/>
      <c r="G78" s="23">
        <f t="shared" si="20"/>
        <v>24348</v>
      </c>
      <c r="H78" s="23"/>
      <c r="I78" s="23">
        <f t="shared" si="26"/>
        <v>2434.8000000000002</v>
      </c>
      <c r="J78" s="23"/>
      <c r="K78" s="23"/>
      <c r="L78" s="23"/>
      <c r="M78" s="23"/>
      <c r="N78" s="23">
        <f>475.33*C78</f>
        <v>2851.98</v>
      </c>
      <c r="O78" s="23"/>
      <c r="P78" s="23">
        <f>8000*C78-G78</f>
        <v>23652</v>
      </c>
      <c r="Q78" s="23"/>
      <c r="R78" s="23">
        <f>E78+I78+P78+N78</f>
        <v>53286.780000000006</v>
      </c>
      <c r="S78" s="25">
        <f t="shared" si="23"/>
        <v>213147.12000000002</v>
      </c>
    </row>
    <row r="79" spans="1:20" x14ac:dyDescent="0.25">
      <c r="A79" s="20" t="s">
        <v>135</v>
      </c>
      <c r="B79" s="21" t="s">
        <v>136</v>
      </c>
      <c r="C79" s="22">
        <v>1</v>
      </c>
      <c r="D79" s="22">
        <v>3</v>
      </c>
      <c r="E79" s="23">
        <v>3770</v>
      </c>
      <c r="F79" s="22"/>
      <c r="G79" s="23">
        <f t="shared" si="20"/>
        <v>3770</v>
      </c>
      <c r="H79" s="23"/>
      <c r="I79" s="23"/>
      <c r="J79" s="23"/>
      <c r="K79" s="23"/>
      <c r="L79" s="23"/>
      <c r="M79" s="23"/>
      <c r="N79" s="23"/>
      <c r="O79" s="23"/>
      <c r="P79" s="23">
        <f t="shared" ref="P79:P80" si="29">8000-G79</f>
        <v>4230</v>
      </c>
      <c r="Q79" s="23"/>
      <c r="R79" s="23">
        <f>G79+P79</f>
        <v>8000</v>
      </c>
      <c r="S79" s="25">
        <f t="shared" si="23"/>
        <v>32000</v>
      </c>
      <c r="T79" s="53"/>
    </row>
    <row r="80" spans="1:20" x14ac:dyDescent="0.25">
      <c r="A80" s="20" t="s">
        <v>137</v>
      </c>
      <c r="B80" s="21" t="s">
        <v>138</v>
      </c>
      <c r="C80" s="22">
        <v>1</v>
      </c>
      <c r="D80" s="22">
        <v>4</v>
      </c>
      <c r="E80" s="23">
        <v>4058</v>
      </c>
      <c r="F80" s="22"/>
      <c r="G80" s="23">
        <f t="shared" si="20"/>
        <v>4058</v>
      </c>
      <c r="H80" s="23"/>
      <c r="I80" s="23"/>
      <c r="J80" s="23"/>
      <c r="K80" s="23"/>
      <c r="L80" s="23"/>
      <c r="M80" s="23"/>
      <c r="N80" s="23"/>
      <c r="O80" s="23"/>
      <c r="P80" s="23">
        <f t="shared" si="29"/>
        <v>3942</v>
      </c>
      <c r="Q80" s="23"/>
      <c r="R80" s="23">
        <f>G80+P80</f>
        <v>8000</v>
      </c>
      <c r="S80" s="25">
        <f t="shared" si="23"/>
        <v>32000</v>
      </c>
      <c r="T80" s="53"/>
    </row>
    <row r="81" spans="1:20" s="27" customFormat="1" ht="24.6" customHeight="1" thickBot="1" x14ac:dyDescent="0.3">
      <c r="A81" s="64"/>
      <c r="B81" s="47" t="s">
        <v>59</v>
      </c>
      <c r="C81" s="34">
        <f>SUM(C63:C80)</f>
        <v>29.5</v>
      </c>
      <c r="D81" s="34"/>
      <c r="E81" s="35">
        <f>SUM(E63:E80)</f>
        <v>166988.25</v>
      </c>
      <c r="F81" s="34">
        <f>SUM(F63:F80)</f>
        <v>2126.1999999999998</v>
      </c>
      <c r="G81" s="35">
        <f>SUM(G63:G80)</f>
        <v>169114.45</v>
      </c>
      <c r="H81" s="35"/>
      <c r="I81" s="35">
        <f>SUM(I63:I80)</f>
        <v>8425.1</v>
      </c>
      <c r="J81" s="35"/>
      <c r="K81" s="35">
        <f>SUM(K63:K80)</f>
        <v>41081.534999999996</v>
      </c>
      <c r="L81" s="35">
        <f>SUM(L63:L80)</f>
        <v>156778.435</v>
      </c>
      <c r="M81" s="35"/>
      <c r="N81" s="35">
        <f>SUM(N68:N80)</f>
        <v>14297.560000000001</v>
      </c>
      <c r="O81" s="35"/>
      <c r="P81" s="35">
        <f>SUM(P63:P80)</f>
        <v>31824</v>
      </c>
      <c r="Q81" s="35"/>
      <c r="R81" s="35">
        <f>SUM(R63:R80)</f>
        <v>421286.78</v>
      </c>
      <c r="S81" s="36">
        <f>SUM(S63:S80)</f>
        <v>1685147.12</v>
      </c>
      <c r="T81" s="54"/>
    </row>
    <row r="82" spans="1:20" s="13" customFormat="1" ht="20.399999999999999" customHeight="1" x14ac:dyDescent="0.2">
      <c r="A82" s="18"/>
      <c r="B82" s="55" t="s">
        <v>139</v>
      </c>
      <c r="C82" s="85"/>
      <c r="D82" s="85"/>
      <c r="E82" s="94"/>
      <c r="F82" s="85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110"/>
      <c r="T82" s="52"/>
    </row>
    <row r="83" spans="1:20" s="13" customFormat="1" x14ac:dyDescent="0.25">
      <c r="A83" s="20" t="s">
        <v>140</v>
      </c>
      <c r="B83" s="21" t="s">
        <v>100</v>
      </c>
      <c r="C83" s="22">
        <v>1</v>
      </c>
      <c r="D83" s="22">
        <v>12</v>
      </c>
      <c r="E83" s="23">
        <v>6773</v>
      </c>
      <c r="F83" s="22">
        <f>E83*0.25</f>
        <v>1693.25</v>
      </c>
      <c r="G83" s="23">
        <f t="shared" ref="G83:G110" si="30">E83+F83</f>
        <v>8466.25</v>
      </c>
      <c r="H83" s="23"/>
      <c r="I83" s="23"/>
      <c r="J83" s="23"/>
      <c r="K83" s="23">
        <f>G83*0.3</f>
        <v>2539.875</v>
      </c>
      <c r="L83" s="23">
        <f t="shared" ref="L83" si="31">20000-G83-K83</f>
        <v>8993.875</v>
      </c>
      <c r="M83" s="23"/>
      <c r="N83" s="23"/>
      <c r="O83" s="23"/>
      <c r="P83" s="23"/>
      <c r="Q83" s="23"/>
      <c r="R83" s="23">
        <f t="shared" ref="R83:R85" si="32">G83+K83+L83</f>
        <v>20000</v>
      </c>
      <c r="S83" s="25">
        <f>R83*4</f>
        <v>80000</v>
      </c>
      <c r="T83" s="52"/>
    </row>
    <row r="84" spans="1:20" s="13" customFormat="1" x14ac:dyDescent="0.25">
      <c r="A84" s="20" t="s">
        <v>141</v>
      </c>
      <c r="B84" s="21" t="s">
        <v>142</v>
      </c>
      <c r="C84" s="22">
        <v>1.5</v>
      </c>
      <c r="D84" s="22">
        <v>14</v>
      </c>
      <c r="E84" s="23">
        <v>11598</v>
      </c>
      <c r="F84" s="22"/>
      <c r="G84" s="23">
        <f t="shared" si="30"/>
        <v>11598</v>
      </c>
      <c r="H84" s="23"/>
      <c r="I84" s="23"/>
      <c r="J84" s="23"/>
      <c r="K84" s="23">
        <f t="shared" ref="K84:K108" si="33">G84*0.3</f>
        <v>3479.4</v>
      </c>
      <c r="L84" s="23">
        <f>30000-G84-K84</f>
        <v>14922.6</v>
      </c>
      <c r="M84" s="23"/>
      <c r="N84" s="23"/>
      <c r="O84" s="23"/>
      <c r="P84" s="23"/>
      <c r="Q84" s="23"/>
      <c r="R84" s="23">
        <f t="shared" si="32"/>
        <v>30000</v>
      </c>
      <c r="S84" s="25">
        <f t="shared" ref="S84:S110" si="34">R84*4</f>
        <v>120000</v>
      </c>
      <c r="T84" s="52"/>
    </row>
    <row r="85" spans="1:20" s="13" customFormat="1" x14ac:dyDescent="0.25">
      <c r="A85" s="20" t="s">
        <v>143</v>
      </c>
      <c r="B85" s="21" t="s">
        <v>144</v>
      </c>
      <c r="C85" s="22">
        <v>1</v>
      </c>
      <c r="D85" s="22">
        <v>12</v>
      </c>
      <c r="E85" s="23">
        <v>6773</v>
      </c>
      <c r="F85" s="23">
        <f>E85*0.15</f>
        <v>1015.9499999999999</v>
      </c>
      <c r="G85" s="23">
        <f t="shared" si="30"/>
        <v>7788.95</v>
      </c>
      <c r="H85" s="23"/>
      <c r="I85" s="23"/>
      <c r="J85" s="23"/>
      <c r="K85" s="23">
        <f t="shared" si="33"/>
        <v>2336.6849999999999</v>
      </c>
      <c r="L85" s="23">
        <f t="shared" ref="L85" si="35">20000-G85-K85</f>
        <v>9874.3649999999998</v>
      </c>
      <c r="M85" s="23"/>
      <c r="N85" s="23"/>
      <c r="O85" s="23"/>
      <c r="P85" s="23"/>
      <c r="Q85" s="23"/>
      <c r="R85" s="23">
        <f t="shared" si="32"/>
        <v>20000</v>
      </c>
      <c r="S85" s="25">
        <f t="shared" si="34"/>
        <v>80000</v>
      </c>
      <c r="T85" s="52"/>
    </row>
    <row r="86" spans="1:20" s="13" customFormat="1" x14ac:dyDescent="0.25">
      <c r="A86" s="20" t="s">
        <v>145</v>
      </c>
      <c r="B86" s="21" t="s">
        <v>146</v>
      </c>
      <c r="C86" s="22">
        <v>1</v>
      </c>
      <c r="D86" s="22">
        <v>11</v>
      </c>
      <c r="E86" s="23">
        <v>6294</v>
      </c>
      <c r="F86" s="22"/>
      <c r="G86" s="23">
        <f t="shared" si="30"/>
        <v>6294</v>
      </c>
      <c r="H86" s="23"/>
      <c r="I86" s="23"/>
      <c r="J86" s="23"/>
      <c r="K86" s="23">
        <f t="shared" si="33"/>
        <v>1888.1999999999998</v>
      </c>
      <c r="L86" s="23">
        <f>20000-G86-K86</f>
        <v>11817.8</v>
      </c>
      <c r="M86" s="23"/>
      <c r="N86" s="23"/>
      <c r="O86" s="23"/>
      <c r="P86" s="23"/>
      <c r="Q86" s="23"/>
      <c r="R86" s="23">
        <f>G86+K86+L86</f>
        <v>20000</v>
      </c>
      <c r="S86" s="25">
        <f t="shared" si="34"/>
        <v>80000</v>
      </c>
      <c r="T86" s="52"/>
    </row>
    <row r="87" spans="1:20" s="13" customFormat="1" x14ac:dyDescent="0.25">
      <c r="A87" s="20" t="s">
        <v>147</v>
      </c>
      <c r="B87" s="21" t="s">
        <v>148</v>
      </c>
      <c r="C87" s="22">
        <v>1.5</v>
      </c>
      <c r="D87" s="22">
        <v>11</v>
      </c>
      <c r="E87" s="23">
        <f>6294*C87</f>
        <v>9441</v>
      </c>
      <c r="F87" s="22"/>
      <c r="G87" s="23">
        <f t="shared" si="30"/>
        <v>9441</v>
      </c>
      <c r="H87" s="23"/>
      <c r="I87" s="23"/>
      <c r="J87" s="23"/>
      <c r="K87" s="23">
        <f t="shared" si="33"/>
        <v>2832.2999999999997</v>
      </c>
      <c r="L87" s="23">
        <f>20000*C87-G87-K87</f>
        <v>17726.7</v>
      </c>
      <c r="M87" s="23"/>
      <c r="N87" s="23"/>
      <c r="O87" s="23"/>
      <c r="P87" s="23"/>
      <c r="Q87" s="23"/>
      <c r="R87" s="23">
        <f t="shared" ref="R87:R102" si="36">G87+K87+L87</f>
        <v>30000</v>
      </c>
      <c r="S87" s="25">
        <f t="shared" si="34"/>
        <v>120000</v>
      </c>
      <c r="T87" s="52"/>
    </row>
    <row r="88" spans="1:20" s="13" customFormat="1" x14ac:dyDescent="0.25">
      <c r="A88" s="20" t="s">
        <v>149</v>
      </c>
      <c r="B88" s="21" t="s">
        <v>150</v>
      </c>
      <c r="C88" s="22">
        <v>0.5</v>
      </c>
      <c r="D88" s="22">
        <v>14</v>
      </c>
      <c r="E88" s="23">
        <f>7732*C88</f>
        <v>3866</v>
      </c>
      <c r="F88" s="22"/>
      <c r="G88" s="23">
        <f t="shared" si="30"/>
        <v>3866</v>
      </c>
      <c r="H88" s="23"/>
      <c r="I88" s="23"/>
      <c r="J88" s="23"/>
      <c r="K88" s="23">
        <f t="shared" si="33"/>
        <v>1159.8</v>
      </c>
      <c r="L88" s="23">
        <f>20000*C88-G88-K88</f>
        <v>4974.2</v>
      </c>
      <c r="M88" s="23"/>
      <c r="N88" s="23"/>
      <c r="O88" s="23"/>
      <c r="P88" s="23"/>
      <c r="Q88" s="23"/>
      <c r="R88" s="23">
        <f t="shared" si="36"/>
        <v>10000</v>
      </c>
      <c r="S88" s="25">
        <f t="shared" si="34"/>
        <v>40000</v>
      </c>
      <c r="T88" s="52"/>
    </row>
    <row r="89" spans="1:20" s="13" customFormat="1" x14ac:dyDescent="0.25">
      <c r="A89" s="20" t="s">
        <v>151</v>
      </c>
      <c r="B89" s="21" t="s">
        <v>104</v>
      </c>
      <c r="C89" s="22">
        <v>0.5</v>
      </c>
      <c r="D89" s="22">
        <v>11</v>
      </c>
      <c r="E89" s="23">
        <v>3147</v>
      </c>
      <c r="F89" s="23">
        <f>E89*0.15</f>
        <v>472.04999999999995</v>
      </c>
      <c r="G89" s="23">
        <f t="shared" si="30"/>
        <v>3619.05</v>
      </c>
      <c r="H89" s="23"/>
      <c r="I89" s="23"/>
      <c r="J89" s="23"/>
      <c r="K89" s="23">
        <f t="shared" si="33"/>
        <v>1085.7149999999999</v>
      </c>
      <c r="L89" s="23">
        <f>20000/2-G89-K89</f>
        <v>5295.2349999999997</v>
      </c>
      <c r="M89" s="23"/>
      <c r="N89" s="23"/>
      <c r="O89" s="23"/>
      <c r="P89" s="23"/>
      <c r="Q89" s="23"/>
      <c r="R89" s="23">
        <f t="shared" si="36"/>
        <v>10000</v>
      </c>
      <c r="S89" s="25">
        <f t="shared" si="34"/>
        <v>40000</v>
      </c>
      <c r="T89" s="52"/>
    </row>
    <row r="90" spans="1:20" s="13" customFormat="1" x14ac:dyDescent="0.25">
      <c r="A90" s="20" t="s">
        <v>152</v>
      </c>
      <c r="B90" s="21" t="s">
        <v>153</v>
      </c>
      <c r="C90" s="22">
        <v>2</v>
      </c>
      <c r="D90" s="22">
        <v>14</v>
      </c>
      <c r="E90" s="23">
        <f>7732*C90</f>
        <v>15464</v>
      </c>
      <c r="F90" s="23">
        <f>E90*0.15</f>
        <v>2319.6</v>
      </c>
      <c r="G90" s="23">
        <f t="shared" si="30"/>
        <v>17783.599999999999</v>
      </c>
      <c r="H90" s="23"/>
      <c r="I90" s="23"/>
      <c r="J90" s="23"/>
      <c r="K90" s="23">
        <f t="shared" si="33"/>
        <v>5335.079999999999</v>
      </c>
      <c r="L90" s="23">
        <f>20000*C90-G90-K90</f>
        <v>16881.320000000003</v>
      </c>
      <c r="M90" s="23"/>
      <c r="N90" s="23"/>
      <c r="O90" s="23"/>
      <c r="P90" s="23"/>
      <c r="Q90" s="23"/>
      <c r="R90" s="23">
        <f t="shared" si="36"/>
        <v>40000</v>
      </c>
      <c r="S90" s="25">
        <f t="shared" si="34"/>
        <v>160000</v>
      </c>
      <c r="T90" s="52"/>
    </row>
    <row r="91" spans="1:20" s="13" customFormat="1" x14ac:dyDescent="0.25">
      <c r="A91" s="20" t="s">
        <v>154</v>
      </c>
      <c r="B91" s="21" t="s">
        <v>155</v>
      </c>
      <c r="C91" s="22">
        <v>0.75</v>
      </c>
      <c r="D91" s="22">
        <v>13</v>
      </c>
      <c r="E91" s="23">
        <f>7253*C91</f>
        <v>5439.75</v>
      </c>
      <c r="F91" s="22"/>
      <c r="G91" s="23">
        <f t="shared" si="30"/>
        <v>5439.75</v>
      </c>
      <c r="H91" s="23"/>
      <c r="I91" s="23"/>
      <c r="J91" s="23"/>
      <c r="K91" s="23">
        <f t="shared" si="33"/>
        <v>1631.925</v>
      </c>
      <c r="L91" s="23">
        <f>20000*C91-G91-K91</f>
        <v>7928.3249999999998</v>
      </c>
      <c r="M91" s="23"/>
      <c r="N91" s="23"/>
      <c r="O91" s="23"/>
      <c r="P91" s="23"/>
      <c r="Q91" s="23"/>
      <c r="R91" s="23">
        <f t="shared" si="36"/>
        <v>15000</v>
      </c>
      <c r="S91" s="25">
        <f t="shared" si="34"/>
        <v>60000</v>
      </c>
      <c r="T91" s="52"/>
    </row>
    <row r="92" spans="1:20" x14ac:dyDescent="0.25">
      <c r="A92" s="20" t="s">
        <v>156</v>
      </c>
      <c r="B92" s="134" t="s">
        <v>339</v>
      </c>
      <c r="C92" s="135">
        <v>0.5</v>
      </c>
      <c r="D92" s="135">
        <v>11</v>
      </c>
      <c r="E92" s="136">
        <f>7732*C92</f>
        <v>3866</v>
      </c>
      <c r="F92" s="136"/>
      <c r="G92" s="136">
        <f t="shared" si="30"/>
        <v>3866</v>
      </c>
      <c r="H92" s="136"/>
      <c r="I92" s="136"/>
      <c r="J92" s="136"/>
      <c r="K92" s="136">
        <f t="shared" si="33"/>
        <v>1159.8</v>
      </c>
      <c r="L92" s="136">
        <f>20000*C92-G92-K92</f>
        <v>4974.2</v>
      </c>
      <c r="M92" s="136"/>
      <c r="N92" s="136"/>
      <c r="O92" s="136"/>
      <c r="P92" s="136"/>
      <c r="Q92" s="136"/>
      <c r="R92" s="136">
        <f>G92+K92+L92</f>
        <v>10000</v>
      </c>
      <c r="S92" s="25">
        <f t="shared" si="34"/>
        <v>40000</v>
      </c>
      <c r="T92" s="53"/>
    </row>
    <row r="93" spans="1:20" s="13" customFormat="1" x14ac:dyDescent="0.25">
      <c r="A93" s="20" t="s">
        <v>119</v>
      </c>
      <c r="B93" s="21" t="s">
        <v>158</v>
      </c>
      <c r="C93" s="22">
        <v>0.25</v>
      </c>
      <c r="D93" s="22">
        <v>14</v>
      </c>
      <c r="E93" s="23">
        <f>7732*C93</f>
        <v>1933</v>
      </c>
      <c r="F93" s="22"/>
      <c r="G93" s="23">
        <f>E93+F93</f>
        <v>1933</v>
      </c>
      <c r="H93" s="23"/>
      <c r="I93" s="23"/>
      <c r="J93" s="23"/>
      <c r="K93" s="23">
        <f t="shared" si="33"/>
        <v>579.9</v>
      </c>
      <c r="L93" s="23">
        <f>20000*C93-G93-K93</f>
        <v>2487.1</v>
      </c>
      <c r="M93" s="23"/>
      <c r="N93" s="23"/>
      <c r="O93" s="23"/>
      <c r="P93" s="23"/>
      <c r="Q93" s="23"/>
      <c r="R93" s="23">
        <f>G93+K93+L93</f>
        <v>5000</v>
      </c>
      <c r="S93" s="25">
        <f t="shared" si="34"/>
        <v>20000</v>
      </c>
      <c r="T93" s="52"/>
    </row>
    <row r="94" spans="1:20" s="13" customFormat="1" x14ac:dyDescent="0.25">
      <c r="A94" s="20" t="s">
        <v>159</v>
      </c>
      <c r="B94" s="21" t="s">
        <v>160</v>
      </c>
      <c r="C94" s="22">
        <v>0.5</v>
      </c>
      <c r="D94" s="22">
        <v>14</v>
      </c>
      <c r="E94" s="23">
        <v>3866</v>
      </c>
      <c r="F94" s="22"/>
      <c r="G94" s="23">
        <f t="shared" si="30"/>
        <v>3866</v>
      </c>
      <c r="H94" s="23"/>
      <c r="I94" s="23"/>
      <c r="J94" s="23"/>
      <c r="K94" s="23">
        <f t="shared" si="33"/>
        <v>1159.8</v>
      </c>
      <c r="L94" s="23">
        <f>20000/2-G94-K94</f>
        <v>4974.2</v>
      </c>
      <c r="M94" s="23"/>
      <c r="N94" s="23"/>
      <c r="O94" s="23"/>
      <c r="P94" s="23"/>
      <c r="Q94" s="23"/>
      <c r="R94" s="23">
        <f t="shared" si="36"/>
        <v>10000</v>
      </c>
      <c r="S94" s="25">
        <f t="shared" si="34"/>
        <v>40000</v>
      </c>
      <c r="T94" s="52"/>
    </row>
    <row r="95" spans="1:20" s="13" customFormat="1" x14ac:dyDescent="0.25">
      <c r="A95" s="20" t="s">
        <v>161</v>
      </c>
      <c r="B95" s="134" t="s">
        <v>162</v>
      </c>
      <c r="C95" s="135">
        <v>0.5</v>
      </c>
      <c r="D95" s="135">
        <v>11</v>
      </c>
      <c r="E95" s="136">
        <v>3147</v>
      </c>
      <c r="F95" s="135"/>
      <c r="G95" s="136">
        <f t="shared" si="30"/>
        <v>3147</v>
      </c>
      <c r="H95" s="136"/>
      <c r="I95" s="136"/>
      <c r="J95" s="136"/>
      <c r="K95" s="136">
        <f t="shared" si="33"/>
        <v>944.09999999999991</v>
      </c>
      <c r="L95" s="136">
        <f>20000/2-G95-K95</f>
        <v>5908.9</v>
      </c>
      <c r="M95" s="136"/>
      <c r="N95" s="136"/>
      <c r="O95" s="136"/>
      <c r="P95" s="136"/>
      <c r="Q95" s="136"/>
      <c r="R95" s="136">
        <f t="shared" si="36"/>
        <v>10000</v>
      </c>
      <c r="S95" s="25">
        <f t="shared" si="34"/>
        <v>40000</v>
      </c>
      <c r="T95" s="52"/>
    </row>
    <row r="96" spans="1:20" s="56" customFormat="1" x14ac:dyDescent="0.25">
      <c r="A96" s="20" t="s">
        <v>163</v>
      </c>
      <c r="B96" s="21" t="s">
        <v>164</v>
      </c>
      <c r="C96" s="22">
        <v>0.5</v>
      </c>
      <c r="D96" s="22">
        <v>14</v>
      </c>
      <c r="E96" s="23">
        <v>3866</v>
      </c>
      <c r="F96" s="22"/>
      <c r="G96" s="23">
        <f t="shared" si="30"/>
        <v>3866</v>
      </c>
      <c r="H96" s="23"/>
      <c r="I96" s="23"/>
      <c r="J96" s="23"/>
      <c r="K96" s="23">
        <f t="shared" si="33"/>
        <v>1159.8</v>
      </c>
      <c r="L96" s="23">
        <f>20000/2-G96-K96</f>
        <v>4974.2</v>
      </c>
      <c r="M96" s="23"/>
      <c r="N96" s="23"/>
      <c r="O96" s="23"/>
      <c r="P96" s="23"/>
      <c r="Q96" s="23"/>
      <c r="R96" s="23">
        <f t="shared" si="36"/>
        <v>10000</v>
      </c>
      <c r="S96" s="25">
        <f t="shared" si="34"/>
        <v>40000</v>
      </c>
    </row>
    <row r="97" spans="1:20" s="56" customFormat="1" x14ac:dyDescent="0.25">
      <c r="A97" s="20" t="s">
        <v>163</v>
      </c>
      <c r="B97" s="21" t="s">
        <v>332</v>
      </c>
      <c r="C97" s="22">
        <v>0.5</v>
      </c>
      <c r="D97" s="22">
        <v>14</v>
      </c>
      <c r="E97" s="23">
        <v>3866</v>
      </c>
      <c r="F97" s="22"/>
      <c r="G97" s="23">
        <f t="shared" si="30"/>
        <v>3866</v>
      </c>
      <c r="H97" s="23"/>
      <c r="I97" s="23"/>
      <c r="J97" s="23"/>
      <c r="K97" s="23">
        <f t="shared" si="33"/>
        <v>1159.8</v>
      </c>
      <c r="L97" s="23">
        <f>20000/2-G97-K97</f>
        <v>4974.2</v>
      </c>
      <c r="M97" s="23"/>
      <c r="N97" s="23"/>
      <c r="O97" s="23"/>
      <c r="P97" s="23"/>
      <c r="Q97" s="23"/>
      <c r="R97" s="23">
        <f t="shared" si="36"/>
        <v>10000</v>
      </c>
      <c r="S97" s="25">
        <f t="shared" si="34"/>
        <v>40000</v>
      </c>
    </row>
    <row r="98" spans="1:20" s="13" customFormat="1" x14ac:dyDescent="0.25">
      <c r="A98" s="20" t="s">
        <v>165</v>
      </c>
      <c r="B98" s="21" t="s">
        <v>166</v>
      </c>
      <c r="C98" s="22">
        <v>1</v>
      </c>
      <c r="D98" s="22">
        <v>14</v>
      </c>
      <c r="E98" s="23">
        <v>7732</v>
      </c>
      <c r="F98" s="22"/>
      <c r="G98" s="23">
        <f t="shared" si="30"/>
        <v>7732</v>
      </c>
      <c r="H98" s="23"/>
      <c r="I98" s="23"/>
      <c r="J98" s="23"/>
      <c r="K98" s="23">
        <f t="shared" si="33"/>
        <v>2319.6</v>
      </c>
      <c r="L98" s="23">
        <f t="shared" ref="L98" si="37">20000-G98-K98</f>
        <v>9948.4</v>
      </c>
      <c r="M98" s="23"/>
      <c r="N98" s="23"/>
      <c r="O98" s="23"/>
      <c r="P98" s="23"/>
      <c r="Q98" s="23"/>
      <c r="R98" s="23">
        <f t="shared" si="36"/>
        <v>20000</v>
      </c>
      <c r="S98" s="25">
        <f t="shared" si="34"/>
        <v>80000</v>
      </c>
      <c r="T98" s="52"/>
    </row>
    <row r="99" spans="1:20" x14ac:dyDescent="0.25">
      <c r="A99" s="20" t="s">
        <v>167</v>
      </c>
      <c r="B99" s="21" t="s">
        <v>112</v>
      </c>
      <c r="C99" s="22">
        <v>0.5</v>
      </c>
      <c r="D99" s="22">
        <v>10</v>
      </c>
      <c r="E99" s="23">
        <v>2907.5</v>
      </c>
      <c r="F99" s="22"/>
      <c r="G99" s="23">
        <f t="shared" si="30"/>
        <v>2907.5</v>
      </c>
      <c r="H99" s="23"/>
      <c r="I99" s="23"/>
      <c r="J99" s="23"/>
      <c r="K99" s="23">
        <f t="shared" si="33"/>
        <v>872.25</v>
      </c>
      <c r="L99" s="23">
        <f>20000/2-G99-K99</f>
        <v>6220.25</v>
      </c>
      <c r="M99" s="23"/>
      <c r="N99" s="23"/>
      <c r="O99" s="23"/>
      <c r="P99" s="23"/>
      <c r="Q99" s="23"/>
      <c r="R99" s="23">
        <f t="shared" si="36"/>
        <v>10000</v>
      </c>
      <c r="S99" s="25">
        <f t="shared" si="34"/>
        <v>40000</v>
      </c>
      <c r="T99" s="53"/>
    </row>
    <row r="100" spans="1:20" s="13" customFormat="1" x14ac:dyDescent="0.25">
      <c r="A100" s="20" t="s">
        <v>168</v>
      </c>
      <c r="B100" s="21" t="s">
        <v>169</v>
      </c>
      <c r="C100" s="22">
        <v>1.5</v>
      </c>
      <c r="D100" s="22">
        <v>14</v>
      </c>
      <c r="E100" s="23">
        <f>7732*C100</f>
        <v>11598</v>
      </c>
      <c r="F100" s="22"/>
      <c r="G100" s="23">
        <f t="shared" si="30"/>
        <v>11598</v>
      </c>
      <c r="H100" s="23"/>
      <c r="I100" s="23"/>
      <c r="J100" s="23"/>
      <c r="K100" s="23">
        <f t="shared" si="33"/>
        <v>3479.4</v>
      </c>
      <c r="L100" s="23">
        <f>20000*C100-G100-K100</f>
        <v>14922.6</v>
      </c>
      <c r="M100" s="23"/>
      <c r="N100" s="23"/>
      <c r="O100" s="23"/>
      <c r="P100" s="23"/>
      <c r="Q100" s="23"/>
      <c r="R100" s="23">
        <f t="shared" si="36"/>
        <v>30000</v>
      </c>
      <c r="S100" s="25">
        <f t="shared" si="34"/>
        <v>120000</v>
      </c>
      <c r="T100" s="52"/>
    </row>
    <row r="101" spans="1:20" x14ac:dyDescent="0.25">
      <c r="A101" s="20" t="s">
        <v>170</v>
      </c>
      <c r="B101" s="21" t="s">
        <v>171</v>
      </c>
      <c r="C101" s="22">
        <v>0.5</v>
      </c>
      <c r="D101" s="22">
        <v>13</v>
      </c>
      <c r="E101" s="23">
        <f>7523*C101</f>
        <v>3761.5</v>
      </c>
      <c r="F101" s="22"/>
      <c r="G101" s="23">
        <f t="shared" si="30"/>
        <v>3761.5</v>
      </c>
      <c r="H101" s="23"/>
      <c r="I101" s="23"/>
      <c r="J101" s="23"/>
      <c r="K101" s="23">
        <f t="shared" si="33"/>
        <v>1128.45</v>
      </c>
      <c r="L101" s="23">
        <f>20000/2-G101-K101</f>
        <v>5110.05</v>
      </c>
      <c r="M101" s="23"/>
      <c r="N101" s="23"/>
      <c r="O101" s="23"/>
      <c r="P101" s="23"/>
      <c r="Q101" s="23"/>
      <c r="R101" s="23">
        <f t="shared" si="36"/>
        <v>10000</v>
      </c>
      <c r="S101" s="25">
        <f t="shared" si="34"/>
        <v>40000</v>
      </c>
      <c r="T101" s="53"/>
    </row>
    <row r="102" spans="1:20" x14ac:dyDescent="0.25">
      <c r="A102" s="20" t="s">
        <v>172</v>
      </c>
      <c r="B102" s="134" t="s">
        <v>173</v>
      </c>
      <c r="C102" s="135">
        <v>0.25</v>
      </c>
      <c r="D102" s="135">
        <v>14</v>
      </c>
      <c r="E102" s="136">
        <f>7732*C102</f>
        <v>1933</v>
      </c>
      <c r="F102" s="135"/>
      <c r="G102" s="136">
        <f t="shared" si="30"/>
        <v>1933</v>
      </c>
      <c r="H102" s="136"/>
      <c r="I102" s="136"/>
      <c r="J102" s="136"/>
      <c r="K102" s="136">
        <f t="shared" si="33"/>
        <v>579.9</v>
      </c>
      <c r="L102" s="136">
        <f>20000/4-G102-K102</f>
        <v>2487.1</v>
      </c>
      <c r="M102" s="136"/>
      <c r="N102" s="136"/>
      <c r="O102" s="136"/>
      <c r="P102" s="136"/>
      <c r="Q102" s="136"/>
      <c r="R102" s="136">
        <f t="shared" si="36"/>
        <v>5000</v>
      </c>
      <c r="S102" s="25">
        <f t="shared" si="34"/>
        <v>20000</v>
      </c>
      <c r="T102" s="53"/>
    </row>
    <row r="103" spans="1:20" x14ac:dyDescent="0.25">
      <c r="A103" s="20" t="s">
        <v>174</v>
      </c>
      <c r="B103" s="21" t="s">
        <v>128</v>
      </c>
      <c r="C103" s="22">
        <v>0.5</v>
      </c>
      <c r="D103" s="22">
        <v>9</v>
      </c>
      <c r="E103" s="23">
        <f>5527*C103</f>
        <v>2763.5</v>
      </c>
      <c r="F103" s="22"/>
      <c r="G103" s="23">
        <f t="shared" si="30"/>
        <v>2763.5</v>
      </c>
      <c r="H103" s="23"/>
      <c r="I103" s="23"/>
      <c r="J103" s="23"/>
      <c r="K103" s="23">
        <f t="shared" si="33"/>
        <v>829.05</v>
      </c>
      <c r="L103" s="23">
        <f>13500*C103-G103-K103</f>
        <v>3157.45</v>
      </c>
      <c r="M103" s="23"/>
      <c r="N103" s="23"/>
      <c r="O103" s="23"/>
      <c r="P103" s="23"/>
      <c r="Q103" s="23"/>
      <c r="R103" s="23">
        <f>G103+K103+L103</f>
        <v>6750</v>
      </c>
      <c r="S103" s="25">
        <f t="shared" si="34"/>
        <v>27000</v>
      </c>
      <c r="T103" s="53"/>
    </row>
    <row r="104" spans="1:20" x14ac:dyDescent="0.25">
      <c r="A104" s="20" t="s">
        <v>175</v>
      </c>
      <c r="B104" s="21" t="s">
        <v>176</v>
      </c>
      <c r="C104" s="22">
        <v>1</v>
      </c>
      <c r="D104" s="22">
        <v>9</v>
      </c>
      <c r="E104" s="23">
        <v>5527</v>
      </c>
      <c r="F104" s="22">
        <f>E104*0.15</f>
        <v>829.05</v>
      </c>
      <c r="G104" s="23">
        <f t="shared" si="30"/>
        <v>6356.05</v>
      </c>
      <c r="H104" s="23"/>
      <c r="I104" s="23"/>
      <c r="J104" s="23"/>
      <c r="K104" s="23">
        <f t="shared" si="33"/>
        <v>1906.8150000000001</v>
      </c>
      <c r="L104" s="23">
        <f>13500-G104-K104</f>
        <v>5237.1350000000002</v>
      </c>
      <c r="M104" s="23"/>
      <c r="N104" s="23"/>
      <c r="O104" s="23"/>
      <c r="P104" s="23"/>
      <c r="Q104" s="23"/>
      <c r="R104" s="23">
        <f>G104+K104+L104</f>
        <v>13500</v>
      </c>
      <c r="S104" s="25">
        <f t="shared" si="34"/>
        <v>54000</v>
      </c>
      <c r="T104" s="53"/>
    </row>
    <row r="105" spans="1:20" x14ac:dyDescent="0.25">
      <c r="A105" s="20" t="s">
        <v>177</v>
      </c>
      <c r="B105" s="21" t="s">
        <v>178</v>
      </c>
      <c r="C105" s="22">
        <v>1.5</v>
      </c>
      <c r="D105" s="22">
        <v>7</v>
      </c>
      <c r="E105" s="23">
        <v>7380</v>
      </c>
      <c r="F105" s="22"/>
      <c r="G105" s="23">
        <f t="shared" si="30"/>
        <v>7380</v>
      </c>
      <c r="H105" s="23"/>
      <c r="I105" s="23">
        <f>G105*0.1</f>
        <v>738</v>
      </c>
      <c r="J105" s="23"/>
      <c r="K105" s="23">
        <f t="shared" si="33"/>
        <v>2214</v>
      </c>
      <c r="L105" s="23">
        <f>13500*1.5-G105-I105-K105</f>
        <v>9918</v>
      </c>
      <c r="M105" s="23"/>
      <c r="N105" s="23"/>
      <c r="O105" s="23"/>
      <c r="P105" s="23"/>
      <c r="Q105" s="23"/>
      <c r="R105" s="23">
        <f>G105+I105+K105+L105</f>
        <v>20250</v>
      </c>
      <c r="S105" s="25">
        <f t="shared" si="34"/>
        <v>81000</v>
      </c>
      <c r="T105" s="53"/>
    </row>
    <row r="106" spans="1:20" x14ac:dyDescent="0.25">
      <c r="A106" s="20" t="s">
        <v>179</v>
      </c>
      <c r="B106" s="21" t="s">
        <v>91</v>
      </c>
      <c r="C106" s="22">
        <v>6</v>
      </c>
      <c r="D106" s="22">
        <v>9</v>
      </c>
      <c r="E106" s="23">
        <f>5527*C106</f>
        <v>33162</v>
      </c>
      <c r="F106" s="22"/>
      <c r="G106" s="23">
        <f t="shared" si="30"/>
        <v>33162</v>
      </c>
      <c r="H106" s="23"/>
      <c r="I106" s="23"/>
      <c r="J106" s="23"/>
      <c r="K106" s="23">
        <f t="shared" si="33"/>
        <v>9948.6</v>
      </c>
      <c r="L106" s="23">
        <f>13500*C106-G106-K106</f>
        <v>37889.4</v>
      </c>
      <c r="M106" s="23"/>
      <c r="N106" s="23"/>
      <c r="O106" s="23"/>
      <c r="P106" s="23"/>
      <c r="Q106" s="23"/>
      <c r="R106" s="23">
        <f t="shared" ref="R106" si="38">G106+K106+L106</f>
        <v>81000</v>
      </c>
      <c r="S106" s="25">
        <f t="shared" si="34"/>
        <v>324000</v>
      </c>
      <c r="T106" s="53"/>
    </row>
    <row r="107" spans="1:20" x14ac:dyDescent="0.25">
      <c r="A107" s="20" t="s">
        <v>181</v>
      </c>
      <c r="B107" s="21" t="s">
        <v>180</v>
      </c>
      <c r="C107" s="22">
        <v>1</v>
      </c>
      <c r="D107" s="22">
        <v>9</v>
      </c>
      <c r="E107" s="23">
        <f>5527*C107</f>
        <v>5527</v>
      </c>
      <c r="F107" s="22"/>
      <c r="G107" s="23">
        <f t="shared" si="30"/>
        <v>5527</v>
      </c>
      <c r="H107" s="23"/>
      <c r="I107" s="23">
        <f>G107*0.1</f>
        <v>552.70000000000005</v>
      </c>
      <c r="J107" s="23"/>
      <c r="K107" s="23">
        <f t="shared" si="33"/>
        <v>1658.1</v>
      </c>
      <c r="L107" s="23">
        <f>13500-G107-K107-I107</f>
        <v>5762.2</v>
      </c>
      <c r="M107" s="23"/>
      <c r="N107" s="23"/>
      <c r="O107" s="23"/>
      <c r="P107" s="23"/>
      <c r="Q107" s="23"/>
      <c r="R107" s="23">
        <f>G107+K107+L107+I107</f>
        <v>13500</v>
      </c>
      <c r="S107" s="25">
        <f t="shared" si="34"/>
        <v>54000</v>
      </c>
      <c r="T107" s="53"/>
    </row>
    <row r="108" spans="1:20" x14ac:dyDescent="0.25">
      <c r="A108" s="20" t="s">
        <v>183</v>
      </c>
      <c r="B108" s="21" t="s">
        <v>182</v>
      </c>
      <c r="C108" s="22">
        <v>2</v>
      </c>
      <c r="D108" s="22">
        <v>9</v>
      </c>
      <c r="E108" s="23">
        <f>5527*C108</f>
        <v>11054</v>
      </c>
      <c r="F108" s="22">
        <f>E108*0.15</f>
        <v>1658.1</v>
      </c>
      <c r="G108" s="23">
        <f t="shared" si="30"/>
        <v>12712.1</v>
      </c>
      <c r="H108" s="23"/>
      <c r="I108" s="23"/>
      <c r="J108" s="23"/>
      <c r="K108" s="23">
        <f t="shared" si="33"/>
        <v>3813.63</v>
      </c>
      <c r="L108" s="23">
        <f>13500*C108-G108-K108</f>
        <v>10474.27</v>
      </c>
      <c r="M108" s="23"/>
      <c r="N108" s="23"/>
      <c r="O108" s="23"/>
      <c r="P108" s="23"/>
      <c r="Q108" s="23"/>
      <c r="R108" s="23">
        <f t="shared" ref="R108" si="39">G108+K108+L108</f>
        <v>27000</v>
      </c>
      <c r="S108" s="25">
        <f t="shared" si="34"/>
        <v>108000</v>
      </c>
      <c r="T108" s="53"/>
    </row>
    <row r="109" spans="1:20" s="38" customFormat="1" x14ac:dyDescent="0.25">
      <c r="A109" s="20" t="s">
        <v>185</v>
      </c>
      <c r="B109" s="21" t="s">
        <v>184</v>
      </c>
      <c r="C109" s="22">
        <v>0.5</v>
      </c>
      <c r="D109" s="22">
        <v>4</v>
      </c>
      <c r="E109" s="23">
        <v>2029</v>
      </c>
      <c r="F109" s="22"/>
      <c r="G109" s="23">
        <f>E109+F109</f>
        <v>2029</v>
      </c>
      <c r="H109" s="23"/>
      <c r="I109" s="23"/>
      <c r="J109" s="23"/>
      <c r="K109" s="23"/>
      <c r="L109" s="23"/>
      <c r="M109" s="23"/>
      <c r="N109" s="23"/>
      <c r="O109" s="23"/>
      <c r="P109" s="23">
        <f>8000/2-G109</f>
        <v>1971</v>
      </c>
      <c r="Q109" s="23"/>
      <c r="R109" s="23">
        <f>G109+I109+P109</f>
        <v>4000</v>
      </c>
      <c r="S109" s="25">
        <f t="shared" si="34"/>
        <v>16000</v>
      </c>
      <c r="T109" s="46"/>
    </row>
    <row r="110" spans="1:20" x14ac:dyDescent="0.25">
      <c r="A110" s="20" t="s">
        <v>188</v>
      </c>
      <c r="B110" s="21" t="s">
        <v>134</v>
      </c>
      <c r="C110" s="22">
        <v>5</v>
      </c>
      <c r="D110" s="22">
        <v>3</v>
      </c>
      <c r="E110" s="23">
        <f>3770*C110</f>
        <v>18850</v>
      </c>
      <c r="F110" s="22"/>
      <c r="G110" s="23">
        <f t="shared" si="30"/>
        <v>18850</v>
      </c>
      <c r="H110" s="23"/>
      <c r="I110" s="23">
        <f>G110*0.1</f>
        <v>1885</v>
      </c>
      <c r="J110" s="23"/>
      <c r="K110" s="23"/>
      <c r="L110" s="23"/>
      <c r="M110" s="23"/>
      <c r="N110" s="23"/>
      <c r="O110" s="23"/>
      <c r="P110" s="23">
        <f>8000*C110-G110</f>
        <v>21150</v>
      </c>
      <c r="Q110" s="23"/>
      <c r="R110" s="23">
        <f>G110+I110+P110</f>
        <v>41885</v>
      </c>
      <c r="S110" s="25">
        <f t="shared" si="34"/>
        <v>167540</v>
      </c>
      <c r="T110" s="53"/>
    </row>
    <row r="111" spans="1:20" s="27" customFormat="1" ht="23.4" customHeight="1" thickBot="1" x14ac:dyDescent="0.3">
      <c r="A111" s="112"/>
      <c r="B111" s="113" t="s">
        <v>59</v>
      </c>
      <c r="C111" s="114">
        <f>SUM(C83:C110)</f>
        <v>33.75</v>
      </c>
      <c r="D111" s="114"/>
      <c r="E111" s="115">
        <f>SUM(E83:E110)</f>
        <v>203564.25</v>
      </c>
      <c r="F111" s="115">
        <f>SUM(F83:F110)</f>
        <v>7988</v>
      </c>
      <c r="G111" s="115">
        <f>SUM(G83:G110)</f>
        <v>211552.25</v>
      </c>
      <c r="H111" s="115"/>
      <c r="I111" s="115">
        <f>SUM(I83:I110)</f>
        <v>3175.7</v>
      </c>
      <c r="J111" s="115"/>
      <c r="K111" s="115">
        <f>SUM(K83:K110)</f>
        <v>57201.974999999991</v>
      </c>
      <c r="L111" s="115">
        <f>SUM(L83:L110)</f>
        <v>237834.07500000001</v>
      </c>
      <c r="M111" s="115"/>
      <c r="N111" s="115"/>
      <c r="O111" s="115"/>
      <c r="P111" s="115">
        <f>SUM(P109:P110)</f>
        <v>23121</v>
      </c>
      <c r="Q111" s="115"/>
      <c r="R111" s="115">
        <f>SUM(R83:R110)</f>
        <v>532885</v>
      </c>
      <c r="S111" s="116">
        <f>SUM(S83:S110)</f>
        <v>2131540</v>
      </c>
      <c r="T111" s="54"/>
    </row>
    <row r="112" spans="1:20" ht="16.2" customHeight="1" x14ac:dyDescent="0.25">
      <c r="A112" s="15"/>
      <c r="B112" s="86" t="s">
        <v>187</v>
      </c>
      <c r="C112" s="85"/>
      <c r="D112" s="85"/>
      <c r="E112" s="94"/>
      <c r="F112" s="85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110"/>
      <c r="T112" s="53"/>
    </row>
    <row r="113" spans="1:20" x14ac:dyDescent="0.25">
      <c r="A113" s="20" t="s">
        <v>190</v>
      </c>
      <c r="B113" s="21" t="s">
        <v>189</v>
      </c>
      <c r="C113" s="22">
        <v>0.75</v>
      </c>
      <c r="D113" s="22">
        <v>10</v>
      </c>
      <c r="E113" s="23">
        <f>5815*C113</f>
        <v>4361.25</v>
      </c>
      <c r="F113" s="22">
        <f>E113*0.15</f>
        <v>654.1875</v>
      </c>
      <c r="G113" s="23">
        <f t="shared" ref="G113:G117" si="40">E113+F113</f>
        <v>5015.4375</v>
      </c>
      <c r="H113" s="23"/>
      <c r="I113" s="23">
        <f>G113*0.1</f>
        <v>501.54375000000005</v>
      </c>
      <c r="J113" s="23"/>
      <c r="K113" s="23">
        <f>G113*0.3</f>
        <v>1504.6312499999999</v>
      </c>
      <c r="L113" s="23">
        <f>20000*C113-G113-I113-K113</f>
        <v>7978.3874999999989</v>
      </c>
      <c r="M113" s="23"/>
      <c r="N113" s="23"/>
      <c r="O113" s="23"/>
      <c r="P113" s="23"/>
      <c r="Q113" s="23"/>
      <c r="R113" s="23">
        <f>G113+I113+K113+L113</f>
        <v>14999.999999999998</v>
      </c>
      <c r="S113" s="25">
        <f>R113*4</f>
        <v>59999.999999999993</v>
      </c>
      <c r="T113" s="53"/>
    </row>
    <row r="114" spans="1:20" x14ac:dyDescent="0.25">
      <c r="A114" s="20" t="s">
        <v>192</v>
      </c>
      <c r="B114" s="21" t="s">
        <v>191</v>
      </c>
      <c r="C114" s="22">
        <v>1</v>
      </c>
      <c r="D114" s="22">
        <v>9</v>
      </c>
      <c r="E114" s="23">
        <v>5527</v>
      </c>
      <c r="F114" s="22">
        <f>E114*0.15</f>
        <v>829.05</v>
      </c>
      <c r="G114" s="23">
        <f t="shared" si="40"/>
        <v>6356.05</v>
      </c>
      <c r="H114" s="23"/>
      <c r="I114" s="23"/>
      <c r="J114" s="23"/>
      <c r="K114" s="23">
        <f t="shared" ref="K114:K115" si="41">G114*0.3</f>
        <v>1906.8150000000001</v>
      </c>
      <c r="L114" s="23">
        <f>20000-G114-K114</f>
        <v>11737.135</v>
      </c>
      <c r="M114" s="23"/>
      <c r="N114" s="23"/>
      <c r="O114" s="23"/>
      <c r="P114" s="23"/>
      <c r="Q114" s="23"/>
      <c r="R114" s="23">
        <f>G114+I114+K114+L114</f>
        <v>20000</v>
      </c>
      <c r="S114" s="25">
        <f t="shared" ref="S114:S120" si="42">R114*4</f>
        <v>80000</v>
      </c>
      <c r="T114" s="53"/>
    </row>
    <row r="115" spans="1:20" x14ac:dyDescent="0.25">
      <c r="A115" s="20" t="s">
        <v>194</v>
      </c>
      <c r="B115" s="21" t="s">
        <v>193</v>
      </c>
      <c r="C115" s="22">
        <v>3</v>
      </c>
      <c r="D115" s="22">
        <v>10</v>
      </c>
      <c r="E115" s="23">
        <f>5815*C115</f>
        <v>17445</v>
      </c>
      <c r="F115" s="22">
        <f>E115*0.15</f>
        <v>2616.75</v>
      </c>
      <c r="G115" s="23">
        <f t="shared" si="40"/>
        <v>20061.75</v>
      </c>
      <c r="H115" s="23"/>
      <c r="I115" s="23">
        <f>G115*0.1</f>
        <v>2006.1750000000002</v>
      </c>
      <c r="J115" s="23"/>
      <c r="K115" s="23">
        <f t="shared" si="41"/>
        <v>6018.5249999999996</v>
      </c>
      <c r="L115" s="23">
        <f>13500*C115-G115-I115-K115</f>
        <v>12413.550000000001</v>
      </c>
      <c r="M115" s="23"/>
      <c r="N115" s="23"/>
      <c r="O115" s="23"/>
      <c r="P115" s="23"/>
      <c r="Q115" s="23"/>
      <c r="R115" s="23">
        <f>G115+I115+K115+L115</f>
        <v>40500</v>
      </c>
      <c r="S115" s="25">
        <f t="shared" si="42"/>
        <v>162000</v>
      </c>
      <c r="T115" s="53"/>
    </row>
    <row r="116" spans="1:20" s="38" customFormat="1" x14ac:dyDescent="0.25">
      <c r="A116" s="20" t="s">
        <v>197</v>
      </c>
      <c r="B116" s="21" t="s">
        <v>186</v>
      </c>
      <c r="C116" s="22">
        <v>1</v>
      </c>
      <c r="D116" s="22">
        <v>3</v>
      </c>
      <c r="E116" s="23">
        <f>3770*C116</f>
        <v>3770</v>
      </c>
      <c r="F116" s="22">
        <f>E116*0.15</f>
        <v>565.5</v>
      </c>
      <c r="G116" s="23">
        <f t="shared" si="40"/>
        <v>4335.5</v>
      </c>
      <c r="H116" s="23"/>
      <c r="I116" s="23">
        <f>G116*0.1</f>
        <v>433.55</v>
      </c>
      <c r="J116" s="23"/>
      <c r="K116" s="23" t="s">
        <v>195</v>
      </c>
      <c r="L116" s="23"/>
      <c r="M116" s="23"/>
      <c r="N116" s="23"/>
      <c r="O116" s="23"/>
      <c r="P116" s="23">
        <f>8000*C116-E116</f>
        <v>4230</v>
      </c>
      <c r="Q116" s="23"/>
      <c r="R116" s="23">
        <f>G116+I116+P116</f>
        <v>8999.0499999999993</v>
      </c>
      <c r="S116" s="25">
        <f t="shared" si="42"/>
        <v>35996.199999999997</v>
      </c>
      <c r="T116" s="46"/>
    </row>
    <row r="117" spans="1:20" s="27" customFormat="1" ht="25.2" customHeight="1" x14ac:dyDescent="0.25">
      <c r="A117" s="112"/>
      <c r="B117" s="113" t="s">
        <v>59</v>
      </c>
      <c r="C117" s="114">
        <f>C113+C114+C115+C116</f>
        <v>5.75</v>
      </c>
      <c r="D117" s="114"/>
      <c r="E117" s="115">
        <f>SUM(E113:E116)</f>
        <v>31103.25</v>
      </c>
      <c r="F117" s="114">
        <f>SUM(F113:F116)</f>
        <v>4665.4875000000002</v>
      </c>
      <c r="G117" s="115">
        <f t="shared" si="40"/>
        <v>35768.737500000003</v>
      </c>
      <c r="H117" s="115"/>
      <c r="I117" s="115">
        <f>SUM(I113:I116)</f>
        <v>2941.2687500000002</v>
      </c>
      <c r="J117" s="115"/>
      <c r="K117" s="115">
        <f>SUM(K113:K116)</f>
        <v>9429.9712499999987</v>
      </c>
      <c r="L117" s="115">
        <f>SUM(L113:L116)</f>
        <v>32129.072500000002</v>
      </c>
      <c r="M117" s="115"/>
      <c r="N117" s="115"/>
      <c r="O117" s="115"/>
      <c r="P117" s="115">
        <f>SUM(P113:P116)</f>
        <v>4230</v>
      </c>
      <c r="Q117" s="115"/>
      <c r="R117" s="115">
        <f>SUM(R113:R116)</f>
        <v>84499.05</v>
      </c>
      <c r="S117" s="25">
        <f t="shared" si="42"/>
        <v>337996.2</v>
      </c>
      <c r="T117" s="54"/>
    </row>
    <row r="118" spans="1:20" s="27" customFormat="1" ht="21.6" customHeight="1" x14ac:dyDescent="0.25">
      <c r="A118" s="125"/>
      <c r="B118" s="126" t="s">
        <v>326</v>
      </c>
      <c r="C118" s="126"/>
      <c r="D118" s="126"/>
      <c r="E118" s="127"/>
      <c r="F118" s="126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25">
        <f t="shared" si="42"/>
        <v>0</v>
      </c>
      <c r="T118" s="54"/>
    </row>
    <row r="119" spans="1:20" s="27" customFormat="1" ht="15" customHeight="1" x14ac:dyDescent="0.25">
      <c r="A119" s="128" t="s">
        <v>198</v>
      </c>
      <c r="B119" s="129" t="s">
        <v>323</v>
      </c>
      <c r="C119" s="130">
        <v>0.25</v>
      </c>
      <c r="D119" s="130">
        <v>10</v>
      </c>
      <c r="E119" s="131">
        <f>5815*C119</f>
        <v>1453.75</v>
      </c>
      <c r="F119" s="130">
        <f>E119*0.15</f>
        <v>218.0625</v>
      </c>
      <c r="G119" s="131">
        <f>E119+F119</f>
        <v>1671.8125</v>
      </c>
      <c r="H119" s="131"/>
      <c r="I119" s="131">
        <f>G119*0.1</f>
        <v>167.18125000000001</v>
      </c>
      <c r="J119" s="131"/>
      <c r="K119" s="131">
        <f>G119*0.3</f>
        <v>501.54374999999999</v>
      </c>
      <c r="L119" s="131">
        <f>20000*C119-G119-I119-K119</f>
        <v>2659.4625000000001</v>
      </c>
      <c r="M119" s="131"/>
      <c r="N119" s="131"/>
      <c r="O119" s="131"/>
      <c r="P119" s="131"/>
      <c r="Q119" s="131"/>
      <c r="R119" s="131">
        <f>L119+K119+I119+G119</f>
        <v>5000</v>
      </c>
      <c r="S119" s="25">
        <f t="shared" si="42"/>
        <v>20000</v>
      </c>
      <c r="T119" s="54"/>
    </row>
    <row r="120" spans="1:20" s="27" customFormat="1" ht="13.2" customHeight="1" x14ac:dyDescent="0.25">
      <c r="A120" s="128" t="s">
        <v>199</v>
      </c>
      <c r="B120" s="129" t="s">
        <v>324</v>
      </c>
      <c r="C120" s="130">
        <v>0.25</v>
      </c>
      <c r="D120" s="130">
        <v>10</v>
      </c>
      <c r="E120" s="131">
        <f>5815*C120</f>
        <v>1453.75</v>
      </c>
      <c r="F120" s="130">
        <f>E120*0.15</f>
        <v>218.0625</v>
      </c>
      <c r="G120" s="131">
        <f>E120+F120</f>
        <v>1671.8125</v>
      </c>
      <c r="H120" s="131"/>
      <c r="I120" s="131">
        <f>G120*0.1</f>
        <v>167.18125000000001</v>
      </c>
      <c r="J120" s="131"/>
      <c r="K120" s="131">
        <f>G120*0.3</f>
        <v>501.54374999999999</v>
      </c>
      <c r="L120" s="131">
        <f>20000*C120-G120-I120-K120</f>
        <v>2659.4625000000001</v>
      </c>
      <c r="M120" s="131"/>
      <c r="N120" s="131"/>
      <c r="O120" s="131"/>
      <c r="P120" s="131"/>
      <c r="Q120" s="131"/>
      <c r="R120" s="131">
        <f t="shared" ref="R120" si="43">L120+K120+I120+G120</f>
        <v>5000</v>
      </c>
      <c r="S120" s="25">
        <f t="shared" si="42"/>
        <v>20000</v>
      </c>
      <c r="T120" s="54"/>
    </row>
    <row r="121" spans="1:20" s="27" customFormat="1" ht="21.6" customHeight="1" x14ac:dyDescent="0.25">
      <c r="A121" s="128"/>
      <c r="B121" s="132" t="s">
        <v>59</v>
      </c>
      <c r="C121" s="126">
        <v>0.5</v>
      </c>
      <c r="D121" s="126"/>
      <c r="E121" s="127">
        <f>SUM(E119:E120)</f>
        <v>2907.5</v>
      </c>
      <c r="F121" s="126">
        <f>SUM(F119:F120)</f>
        <v>436.125</v>
      </c>
      <c r="G121" s="127">
        <f>SUM(G119:G120)</f>
        <v>3343.625</v>
      </c>
      <c r="H121" s="127"/>
      <c r="I121" s="127">
        <f>SUM(I119:I120)</f>
        <v>334.36250000000001</v>
      </c>
      <c r="J121" s="127"/>
      <c r="K121" s="127">
        <f>SUM(K119:K120)</f>
        <v>1003.0875</v>
      </c>
      <c r="L121" s="127">
        <f>SUM(L119:L120)</f>
        <v>5318.9250000000002</v>
      </c>
      <c r="M121" s="127"/>
      <c r="N121" s="127"/>
      <c r="O121" s="127"/>
      <c r="P121" s="127"/>
      <c r="Q121" s="127"/>
      <c r="R121" s="127">
        <f>SUM(R119:R120)</f>
        <v>10000</v>
      </c>
      <c r="S121" s="127">
        <f>SUM(S119:S120)</f>
        <v>40000</v>
      </c>
      <c r="T121" s="54"/>
    </row>
    <row r="122" spans="1:20" ht="23.4" customHeight="1" x14ac:dyDescent="0.25">
      <c r="A122" s="133"/>
      <c r="B122" s="29" t="s">
        <v>327</v>
      </c>
      <c r="C122" s="29"/>
      <c r="D122" s="29"/>
      <c r="E122" s="30"/>
      <c r="F122" s="29"/>
      <c r="G122" s="23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53"/>
    </row>
    <row r="123" spans="1:20" ht="14.4" customHeight="1" x14ac:dyDescent="0.25">
      <c r="A123" s="20" t="s">
        <v>198</v>
      </c>
      <c r="B123" s="21" t="s">
        <v>110</v>
      </c>
      <c r="C123" s="22">
        <v>0.25</v>
      </c>
      <c r="D123" s="22">
        <v>10</v>
      </c>
      <c r="E123" s="23">
        <f>5815*C123</f>
        <v>1453.75</v>
      </c>
      <c r="F123" s="22">
        <f t="shared" ref="F123:F126" si="44">E123*0.15</f>
        <v>218.0625</v>
      </c>
      <c r="G123" s="23">
        <f t="shared" si="20"/>
        <v>1671.8125</v>
      </c>
      <c r="H123" s="23"/>
      <c r="I123" s="23"/>
      <c r="J123" s="23"/>
      <c r="K123" s="23">
        <f>G123*0.3</f>
        <v>501.54374999999999</v>
      </c>
      <c r="L123" s="23">
        <f>20000*C123-G123-K123</f>
        <v>2826.6437500000002</v>
      </c>
      <c r="M123" s="23"/>
      <c r="N123" s="23"/>
      <c r="O123" s="23"/>
      <c r="P123" s="23"/>
      <c r="Q123" s="23"/>
      <c r="R123" s="23">
        <f t="shared" ref="R123:R124" si="45">G123+K123+L123</f>
        <v>5000</v>
      </c>
      <c r="S123" s="25">
        <f>R123*4</f>
        <v>20000</v>
      </c>
      <c r="T123" s="53"/>
    </row>
    <row r="124" spans="1:20" x14ac:dyDescent="0.25">
      <c r="A124" s="20" t="s">
        <v>199</v>
      </c>
      <c r="B124" s="21" t="s">
        <v>104</v>
      </c>
      <c r="C124" s="22">
        <v>0.25</v>
      </c>
      <c r="D124" s="22">
        <v>10</v>
      </c>
      <c r="E124" s="23">
        <f>5815*C124</f>
        <v>1453.75</v>
      </c>
      <c r="F124" s="22">
        <f t="shared" si="44"/>
        <v>218.0625</v>
      </c>
      <c r="G124" s="23">
        <f t="shared" si="20"/>
        <v>1671.8125</v>
      </c>
      <c r="H124" s="23"/>
      <c r="I124" s="23"/>
      <c r="J124" s="23"/>
      <c r="K124" s="23">
        <f t="shared" ref="K124:K125" si="46">G124*0.3</f>
        <v>501.54374999999999</v>
      </c>
      <c r="L124" s="23">
        <f>20000*C124-G124-K124</f>
        <v>2826.6437500000002</v>
      </c>
      <c r="M124" s="23"/>
      <c r="N124" s="23"/>
      <c r="O124" s="23"/>
      <c r="P124" s="23"/>
      <c r="Q124" s="23"/>
      <c r="R124" s="23">
        <f t="shared" si="45"/>
        <v>5000</v>
      </c>
      <c r="S124" s="25">
        <f t="shared" ref="S124:S126" si="47">R124*4</f>
        <v>20000</v>
      </c>
      <c r="T124" s="53"/>
    </row>
    <row r="125" spans="1:20" x14ac:dyDescent="0.25">
      <c r="A125" s="20" t="s">
        <v>200</v>
      </c>
      <c r="B125" s="21" t="s">
        <v>130</v>
      </c>
      <c r="C125" s="22">
        <v>4</v>
      </c>
      <c r="D125" s="22">
        <v>9</v>
      </c>
      <c r="E125" s="23">
        <f>5527*C125</f>
        <v>22108</v>
      </c>
      <c r="F125" s="22">
        <f t="shared" si="44"/>
        <v>3316.2</v>
      </c>
      <c r="G125" s="23">
        <f t="shared" si="20"/>
        <v>25424.2</v>
      </c>
      <c r="H125" s="23"/>
      <c r="I125" s="23">
        <f t="shared" ref="I125:I126" si="48">G125*0.1</f>
        <v>2542.42</v>
      </c>
      <c r="J125" s="23"/>
      <c r="K125" s="23">
        <f t="shared" si="46"/>
        <v>7627.26</v>
      </c>
      <c r="L125" s="23">
        <f>13500*C125-G125-K125-I125-N125</f>
        <v>15816.520000000002</v>
      </c>
      <c r="M125" s="23"/>
      <c r="N125" s="23">
        <f>647.4*C125</f>
        <v>2589.6</v>
      </c>
      <c r="O125" s="23"/>
      <c r="P125" s="23"/>
      <c r="Q125" s="23"/>
      <c r="R125" s="23">
        <f>G125+K125+L125+I125+N125</f>
        <v>54000</v>
      </c>
      <c r="S125" s="25">
        <f t="shared" si="47"/>
        <v>216000</v>
      </c>
      <c r="T125" s="53"/>
    </row>
    <row r="126" spans="1:20" s="13" customFormat="1" x14ac:dyDescent="0.2">
      <c r="A126" s="28" t="s">
        <v>202</v>
      </c>
      <c r="B126" s="21" t="s">
        <v>134</v>
      </c>
      <c r="C126" s="22">
        <v>2.5</v>
      </c>
      <c r="D126" s="22">
        <v>4</v>
      </c>
      <c r="E126" s="23">
        <f>4058*C126</f>
        <v>10145</v>
      </c>
      <c r="F126" s="22">
        <f t="shared" si="44"/>
        <v>1521.75</v>
      </c>
      <c r="G126" s="23">
        <f t="shared" si="20"/>
        <v>11666.75</v>
      </c>
      <c r="H126" s="23"/>
      <c r="I126" s="23">
        <f t="shared" si="48"/>
        <v>1166.675</v>
      </c>
      <c r="J126" s="23"/>
      <c r="K126" s="23"/>
      <c r="L126" s="23"/>
      <c r="M126" s="23"/>
      <c r="N126" s="23">
        <f>475.33*C126</f>
        <v>1188.325</v>
      </c>
      <c r="O126" s="23"/>
      <c r="P126" s="23">
        <f>8000*C126-E126</f>
        <v>9855</v>
      </c>
      <c r="Q126" s="23"/>
      <c r="R126" s="23">
        <f>G126+I126+P126+N126</f>
        <v>23876.75</v>
      </c>
      <c r="S126" s="25">
        <f t="shared" si="47"/>
        <v>95507</v>
      </c>
      <c r="T126" s="52"/>
    </row>
    <row r="127" spans="1:20" s="27" customFormat="1" ht="21.6" customHeight="1" thickBot="1" x14ac:dyDescent="0.3">
      <c r="A127" s="64"/>
      <c r="B127" s="117" t="s">
        <v>59</v>
      </c>
      <c r="C127" s="34">
        <f>SUM(C123:C126)</f>
        <v>7</v>
      </c>
      <c r="D127" s="34"/>
      <c r="E127" s="35">
        <f>SUM(E123:E126)</f>
        <v>35160.5</v>
      </c>
      <c r="F127" s="34">
        <f>SUM(F123:F126)</f>
        <v>5274.0749999999998</v>
      </c>
      <c r="G127" s="35">
        <f>SUM(G123:G126)</f>
        <v>40434.574999999997</v>
      </c>
      <c r="H127" s="35"/>
      <c r="I127" s="35">
        <f>SUM(I123:I126)</f>
        <v>3709.0950000000003</v>
      </c>
      <c r="J127" s="35"/>
      <c r="K127" s="35">
        <f>SUM(K123:K126)</f>
        <v>8630.3474999999999</v>
      </c>
      <c r="L127" s="35">
        <f>SUM(L123:L126)</f>
        <v>21469.807500000003</v>
      </c>
      <c r="M127" s="35"/>
      <c r="N127" s="35">
        <f>SUM(N123:N126)</f>
        <v>3777.9250000000002</v>
      </c>
      <c r="O127" s="35"/>
      <c r="P127" s="35">
        <f>SUM(P123:P126)</f>
        <v>9855</v>
      </c>
      <c r="Q127" s="35"/>
      <c r="R127" s="35">
        <f>SUM(R123:R126)</f>
        <v>87876.75</v>
      </c>
      <c r="S127" s="36">
        <f>SUM(S123:S126)</f>
        <v>351507</v>
      </c>
      <c r="T127" s="54"/>
    </row>
    <row r="128" spans="1:20" s="56" customFormat="1" ht="27" customHeight="1" x14ac:dyDescent="0.25">
      <c r="A128" s="15"/>
      <c r="B128" s="86" t="s">
        <v>201</v>
      </c>
      <c r="C128" s="85"/>
      <c r="D128" s="85"/>
      <c r="E128" s="94"/>
      <c r="F128" s="85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110"/>
      <c r="T128" s="58"/>
    </row>
    <row r="129" spans="1:20" s="13" customFormat="1" x14ac:dyDescent="0.25">
      <c r="A129" s="20" t="s">
        <v>203</v>
      </c>
      <c r="B129" s="59" t="s">
        <v>100</v>
      </c>
      <c r="C129" s="22">
        <v>1</v>
      </c>
      <c r="D129" s="22">
        <v>13</v>
      </c>
      <c r="E129" s="23">
        <v>7253</v>
      </c>
      <c r="F129" s="22">
        <f>E129*0.2</f>
        <v>1450.6000000000001</v>
      </c>
      <c r="G129" s="23">
        <f t="shared" ref="G129:G130" si="49">E129+F129</f>
        <v>8703.6</v>
      </c>
      <c r="H129" s="23"/>
      <c r="I129" s="23"/>
      <c r="J129" s="23"/>
      <c r="K129" s="23">
        <f t="shared" ref="K129:K130" si="50">G129*0.3</f>
        <v>2611.08</v>
      </c>
      <c r="L129" s="23">
        <f t="shared" ref="L129" si="51">20000-G129-K129</f>
        <v>8685.32</v>
      </c>
      <c r="M129" s="23"/>
      <c r="N129" s="23"/>
      <c r="O129" s="23"/>
      <c r="P129" s="23"/>
      <c r="Q129" s="23"/>
      <c r="R129" s="23">
        <f>G129+K129+L129+O129</f>
        <v>20000</v>
      </c>
      <c r="S129" s="25">
        <f>R129*4</f>
        <v>80000</v>
      </c>
      <c r="T129" s="52"/>
    </row>
    <row r="130" spans="1:20" s="38" customFormat="1" x14ac:dyDescent="0.25">
      <c r="A130" s="57" t="s">
        <v>205</v>
      </c>
      <c r="B130" s="21" t="s">
        <v>128</v>
      </c>
      <c r="C130" s="22">
        <v>1</v>
      </c>
      <c r="D130" s="22">
        <v>10</v>
      </c>
      <c r="E130" s="23">
        <v>5815</v>
      </c>
      <c r="F130" s="22">
        <f>E130*0.1</f>
        <v>581.5</v>
      </c>
      <c r="G130" s="23">
        <f t="shared" si="49"/>
        <v>6396.5</v>
      </c>
      <c r="H130" s="23"/>
      <c r="I130" s="23"/>
      <c r="J130" s="23"/>
      <c r="K130" s="23">
        <f t="shared" si="50"/>
        <v>1918.9499999999998</v>
      </c>
      <c r="L130" s="23">
        <f>13500-G130-K130</f>
        <v>5184.55</v>
      </c>
      <c r="M130" s="23"/>
      <c r="N130" s="23"/>
      <c r="O130" s="23"/>
      <c r="P130" s="23"/>
      <c r="Q130" s="23"/>
      <c r="R130" s="23">
        <f>G130+K130+L130</f>
        <v>13500</v>
      </c>
      <c r="S130" s="25">
        <f t="shared" ref="S130:S139" si="52">R130*4</f>
        <v>54000</v>
      </c>
      <c r="T130" s="46"/>
    </row>
    <row r="131" spans="1:20" x14ac:dyDescent="0.25">
      <c r="A131" s="28"/>
      <c r="B131" s="50"/>
      <c r="C131" s="60"/>
      <c r="D131" s="60"/>
      <c r="E131" s="61"/>
      <c r="F131" s="60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25">
        <f t="shared" si="52"/>
        <v>0</v>
      </c>
      <c r="T131" s="53"/>
    </row>
    <row r="132" spans="1:20" ht="21" customHeight="1" x14ac:dyDescent="0.25">
      <c r="A132" s="20"/>
      <c r="B132" s="63" t="s">
        <v>204</v>
      </c>
      <c r="C132" s="29"/>
      <c r="D132" s="29"/>
      <c r="E132" s="30"/>
      <c r="F132" s="29"/>
      <c r="G132" s="23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25">
        <f t="shared" si="52"/>
        <v>0</v>
      </c>
      <c r="T132" s="53"/>
    </row>
    <row r="133" spans="1:20" ht="11.4" customHeight="1" x14ac:dyDescent="0.25">
      <c r="A133" s="20" t="s">
        <v>207</v>
      </c>
      <c r="B133" s="21" t="s">
        <v>206</v>
      </c>
      <c r="C133" s="22">
        <v>4.5</v>
      </c>
      <c r="D133" s="22">
        <v>14</v>
      </c>
      <c r="E133" s="23">
        <f>7732*C133</f>
        <v>34794</v>
      </c>
      <c r="F133" s="22"/>
      <c r="G133" s="23">
        <f t="shared" ref="G133:G139" si="53">E133+F133</f>
        <v>34794</v>
      </c>
      <c r="H133" s="23"/>
      <c r="I133" s="23"/>
      <c r="J133" s="23"/>
      <c r="K133" s="23">
        <f t="shared" ref="K133" si="54">G133*0.3</f>
        <v>10438.199999999999</v>
      </c>
      <c r="L133" s="23">
        <f>20000*C133-G133-K133</f>
        <v>44767.8</v>
      </c>
      <c r="M133" s="23"/>
      <c r="N133" s="23"/>
      <c r="O133" s="23"/>
      <c r="P133" s="23"/>
      <c r="Q133" s="23"/>
      <c r="R133" s="23">
        <f>G133+K133+L133+O133</f>
        <v>90000</v>
      </c>
      <c r="S133" s="25">
        <f t="shared" si="52"/>
        <v>360000</v>
      </c>
    </row>
    <row r="134" spans="1:20" x14ac:dyDescent="0.25">
      <c r="A134" s="20" t="s">
        <v>209</v>
      </c>
      <c r="B134" s="21" t="s">
        <v>208</v>
      </c>
      <c r="C134" s="22">
        <v>1</v>
      </c>
      <c r="D134" s="22">
        <v>13</v>
      </c>
      <c r="E134" s="23">
        <v>7523</v>
      </c>
      <c r="F134" s="22"/>
      <c r="G134" s="23">
        <f t="shared" si="53"/>
        <v>7523</v>
      </c>
      <c r="H134" s="23"/>
      <c r="I134" s="23"/>
      <c r="J134" s="23"/>
      <c r="K134" s="23">
        <f>G134*0.3</f>
        <v>2256.9</v>
      </c>
      <c r="L134" s="23">
        <f>20000-G134-K134</f>
        <v>10220.1</v>
      </c>
      <c r="M134" s="23"/>
      <c r="N134" s="23"/>
      <c r="O134" s="23"/>
      <c r="P134" s="23"/>
      <c r="Q134" s="23"/>
      <c r="R134" s="23">
        <f>G134+K134+L134+O134</f>
        <v>20000</v>
      </c>
      <c r="S134" s="25">
        <f t="shared" si="52"/>
        <v>80000</v>
      </c>
    </row>
    <row r="135" spans="1:20" s="13" customFormat="1" x14ac:dyDescent="0.25">
      <c r="A135" s="20" t="s">
        <v>210</v>
      </c>
      <c r="B135" s="21" t="s">
        <v>112</v>
      </c>
      <c r="C135" s="22">
        <v>1</v>
      </c>
      <c r="D135" s="22">
        <v>12</v>
      </c>
      <c r="E135" s="23">
        <v>6773</v>
      </c>
      <c r="F135" s="22"/>
      <c r="G135" s="23">
        <f t="shared" si="53"/>
        <v>6773</v>
      </c>
      <c r="H135" s="23"/>
      <c r="I135" s="23"/>
      <c r="J135" s="23"/>
      <c r="K135" s="23">
        <f t="shared" ref="K135:K137" si="55">G135*0.3</f>
        <v>2031.8999999999999</v>
      </c>
      <c r="L135" s="23">
        <f t="shared" ref="L135" si="56">20000-G135-K135</f>
        <v>11195.1</v>
      </c>
      <c r="M135" s="23"/>
      <c r="N135" s="23"/>
      <c r="O135" s="23"/>
      <c r="P135" s="23"/>
      <c r="Q135" s="23"/>
      <c r="R135" s="23">
        <f>G135+K135+L135+O135</f>
        <v>20000</v>
      </c>
      <c r="S135" s="25">
        <f t="shared" si="52"/>
        <v>80000</v>
      </c>
    </row>
    <row r="136" spans="1:20" x14ac:dyDescent="0.25">
      <c r="A136" s="20" t="s">
        <v>213</v>
      </c>
      <c r="B136" s="21" t="s">
        <v>211</v>
      </c>
      <c r="C136" s="22">
        <v>5</v>
      </c>
      <c r="D136" s="22">
        <v>10</v>
      </c>
      <c r="E136" s="23">
        <f>5815*C136</f>
        <v>29075</v>
      </c>
      <c r="F136" s="22"/>
      <c r="G136" s="23">
        <f t="shared" si="53"/>
        <v>29075</v>
      </c>
      <c r="H136" s="23"/>
      <c r="I136" s="23">
        <f>G136*0.1</f>
        <v>2907.5</v>
      </c>
      <c r="J136" s="23"/>
      <c r="K136" s="23">
        <f t="shared" si="55"/>
        <v>8722.5</v>
      </c>
      <c r="L136" s="23">
        <f>13500*C136-G136-I136-K136</f>
        <v>26795</v>
      </c>
      <c r="M136" s="23"/>
      <c r="N136" s="23"/>
      <c r="O136" s="23"/>
      <c r="P136" s="23"/>
      <c r="Q136" s="23"/>
      <c r="R136" s="23">
        <f>G136+I136+K136+L136</f>
        <v>67500</v>
      </c>
      <c r="S136" s="25">
        <f t="shared" si="52"/>
        <v>270000</v>
      </c>
      <c r="T136" s="53"/>
    </row>
    <row r="137" spans="1:20" s="13" customFormat="1" x14ac:dyDescent="0.25">
      <c r="A137" s="20" t="s">
        <v>214</v>
      </c>
      <c r="B137" s="21" t="s">
        <v>91</v>
      </c>
      <c r="C137" s="22">
        <v>1</v>
      </c>
      <c r="D137" s="22">
        <v>10</v>
      </c>
      <c r="E137" s="23">
        <v>5815</v>
      </c>
      <c r="F137" s="22"/>
      <c r="G137" s="23">
        <f t="shared" si="53"/>
        <v>5815</v>
      </c>
      <c r="H137" s="23"/>
      <c r="I137" s="23"/>
      <c r="J137" s="23"/>
      <c r="K137" s="23">
        <f t="shared" si="55"/>
        <v>1744.5</v>
      </c>
      <c r="L137" s="23">
        <f t="shared" ref="L137:L138" si="57">13500-G137-K137</f>
        <v>5940.5</v>
      </c>
      <c r="M137" s="23"/>
      <c r="N137" s="23"/>
      <c r="O137" s="23"/>
      <c r="P137" s="23"/>
      <c r="Q137" s="23"/>
      <c r="R137" s="23">
        <f t="shared" ref="R137:R138" si="58">G137+K137+L137</f>
        <v>13500</v>
      </c>
      <c r="S137" s="25">
        <f t="shared" si="52"/>
        <v>54000</v>
      </c>
    </row>
    <row r="138" spans="1:20" x14ac:dyDescent="0.25">
      <c r="A138" s="20" t="s">
        <v>216</v>
      </c>
      <c r="B138" s="21" t="s">
        <v>215</v>
      </c>
      <c r="C138" s="22">
        <v>1</v>
      </c>
      <c r="D138" s="22">
        <v>10</v>
      </c>
      <c r="E138" s="23">
        <v>5815</v>
      </c>
      <c r="F138" s="22"/>
      <c r="G138" s="23">
        <f t="shared" si="53"/>
        <v>5815</v>
      </c>
      <c r="H138" s="23"/>
      <c r="I138" s="23"/>
      <c r="J138" s="23"/>
      <c r="K138" s="23">
        <f>G138*0.3</f>
        <v>1744.5</v>
      </c>
      <c r="L138" s="23">
        <f t="shared" si="57"/>
        <v>5940.5</v>
      </c>
      <c r="M138" s="23"/>
      <c r="N138" s="23"/>
      <c r="O138" s="23"/>
      <c r="P138" s="23"/>
      <c r="Q138" s="23"/>
      <c r="R138" s="23">
        <f t="shared" si="58"/>
        <v>13500</v>
      </c>
      <c r="S138" s="25">
        <f t="shared" si="52"/>
        <v>54000</v>
      </c>
    </row>
    <row r="139" spans="1:20" x14ac:dyDescent="0.25">
      <c r="A139" s="20" t="s">
        <v>218</v>
      </c>
      <c r="B139" s="21" t="s">
        <v>134</v>
      </c>
      <c r="C139" s="22">
        <v>2</v>
      </c>
      <c r="D139" s="22">
        <v>3</v>
      </c>
      <c r="E139" s="23">
        <f>3770*C139</f>
        <v>7540</v>
      </c>
      <c r="F139" s="22"/>
      <c r="G139" s="23">
        <f t="shared" si="53"/>
        <v>7540</v>
      </c>
      <c r="H139" s="23"/>
      <c r="I139" s="23">
        <f>G139*0.1</f>
        <v>754</v>
      </c>
      <c r="J139" s="23"/>
      <c r="K139" s="23"/>
      <c r="L139" s="23"/>
      <c r="M139" s="23"/>
      <c r="N139" s="23"/>
      <c r="O139" s="23"/>
      <c r="P139" s="23">
        <f>8000*C139-G139</f>
        <v>8460</v>
      </c>
      <c r="Q139" s="23"/>
      <c r="R139" s="23">
        <f>SUM(G139:Q139)</f>
        <v>16754</v>
      </c>
      <c r="S139" s="25">
        <f t="shared" si="52"/>
        <v>67016</v>
      </c>
    </row>
    <row r="140" spans="1:20" s="27" customFormat="1" ht="25.8" customHeight="1" thickBot="1" x14ac:dyDescent="0.3">
      <c r="A140" s="64"/>
      <c r="B140" s="47" t="s">
        <v>59</v>
      </c>
      <c r="C140" s="34">
        <f>SUM(C129:C139)</f>
        <v>17.5</v>
      </c>
      <c r="D140" s="34"/>
      <c r="E140" s="35">
        <f>SUM(E129:E139)</f>
        <v>110403</v>
      </c>
      <c r="F140" s="34">
        <f>SUM(F129:F139)</f>
        <v>2032.1000000000001</v>
      </c>
      <c r="G140" s="35">
        <f>SUM(G129:G139)</f>
        <v>112435.1</v>
      </c>
      <c r="H140" s="35"/>
      <c r="I140" s="35">
        <f>SUM(I129:I139)</f>
        <v>3661.5</v>
      </c>
      <c r="J140" s="35"/>
      <c r="K140" s="35">
        <f>SUM(K129:K139)</f>
        <v>31468.530000000002</v>
      </c>
      <c r="L140" s="35">
        <f>SUM(L129:L139)</f>
        <v>118728.87000000001</v>
      </c>
      <c r="M140" s="35">
        <f>SUM(M139:M139)</f>
        <v>0</v>
      </c>
      <c r="N140" s="35"/>
      <c r="O140" s="35">
        <f>SUM(O134:O139)</f>
        <v>0</v>
      </c>
      <c r="P140" s="35">
        <f>SUM(P139:P139)</f>
        <v>8460</v>
      </c>
      <c r="Q140" s="35"/>
      <c r="R140" s="35">
        <f>SUM(R129:R139)</f>
        <v>274754</v>
      </c>
      <c r="S140" s="36">
        <f>SUM(S129:S139)</f>
        <v>1099016</v>
      </c>
    </row>
    <row r="141" spans="1:20" ht="27.6" customHeight="1" x14ac:dyDescent="0.25">
      <c r="A141" s="15"/>
      <c r="B141" s="55" t="s">
        <v>217</v>
      </c>
      <c r="C141" s="85"/>
      <c r="D141" s="85"/>
      <c r="E141" s="94"/>
      <c r="F141" s="85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110"/>
    </row>
    <row r="142" spans="1:20" x14ac:dyDescent="0.25">
      <c r="A142" s="20" t="s">
        <v>221</v>
      </c>
      <c r="B142" s="21" t="s">
        <v>219</v>
      </c>
      <c r="C142" s="22">
        <v>6</v>
      </c>
      <c r="D142" s="22">
        <v>10</v>
      </c>
      <c r="E142" s="23">
        <f>5815*C142</f>
        <v>34890</v>
      </c>
      <c r="F142" s="22"/>
      <c r="G142" s="23">
        <f t="shared" ref="G142:G143" si="59">E142+F142</f>
        <v>34890</v>
      </c>
      <c r="H142" s="23"/>
      <c r="I142" s="23"/>
      <c r="J142" s="23"/>
      <c r="K142" s="23">
        <f t="shared" ref="K142" si="60">G142*0.3</f>
        <v>10467</v>
      </c>
      <c r="L142" s="23">
        <f>13500*C142-G142-K142-N142</f>
        <v>31556.22</v>
      </c>
      <c r="M142" s="23"/>
      <c r="N142" s="23">
        <f>681.13*C142</f>
        <v>4086.7799999999997</v>
      </c>
      <c r="O142" s="23"/>
      <c r="P142" s="23"/>
      <c r="Q142" s="23"/>
      <c r="R142" s="23">
        <f t="shared" ref="R142" si="61">G142+K142+L142+N142</f>
        <v>81000</v>
      </c>
      <c r="S142" s="25">
        <f>R142*4</f>
        <v>324000</v>
      </c>
    </row>
    <row r="143" spans="1:20" x14ac:dyDescent="0.25">
      <c r="A143" s="20" t="s">
        <v>223</v>
      </c>
      <c r="B143" s="21" t="s">
        <v>78</v>
      </c>
      <c r="C143" s="22">
        <v>5</v>
      </c>
      <c r="D143" s="22">
        <v>4</v>
      </c>
      <c r="E143" s="23">
        <f>4058*C143</f>
        <v>20290</v>
      </c>
      <c r="F143" s="22"/>
      <c r="G143" s="23">
        <f t="shared" si="59"/>
        <v>20290</v>
      </c>
      <c r="H143" s="23"/>
      <c r="I143" s="23"/>
      <c r="J143" s="23"/>
      <c r="K143" s="23"/>
      <c r="L143" s="23"/>
      <c r="M143" s="23"/>
      <c r="N143" s="23">
        <f>475.33*C143</f>
        <v>2376.65</v>
      </c>
      <c r="O143" s="23"/>
      <c r="P143" s="23">
        <f>8000*C143-G143</f>
        <v>19710</v>
      </c>
      <c r="Q143" s="23"/>
      <c r="R143" s="23">
        <f>E143+P143+N143</f>
        <v>42376.65</v>
      </c>
      <c r="S143" s="25">
        <f>R143*4</f>
        <v>169506.6</v>
      </c>
    </row>
    <row r="144" spans="1:20" s="27" customFormat="1" ht="22.2" customHeight="1" thickBot="1" x14ac:dyDescent="0.3">
      <c r="A144" s="64"/>
      <c r="B144" s="47" t="s">
        <v>59</v>
      </c>
      <c r="C144" s="34">
        <f>SUM(C142:C143)</f>
        <v>11</v>
      </c>
      <c r="D144" s="34"/>
      <c r="E144" s="35">
        <f>SUM(E142:E143)</f>
        <v>55180</v>
      </c>
      <c r="F144" s="34"/>
      <c r="G144" s="35">
        <f>SUM(G142:G143)</f>
        <v>55180</v>
      </c>
      <c r="H144" s="35"/>
      <c r="I144" s="35"/>
      <c r="J144" s="35"/>
      <c r="K144" s="35">
        <f>SUM(K142:K143)</f>
        <v>10467</v>
      </c>
      <c r="L144" s="35">
        <f>SUM(L142:L143)</f>
        <v>31556.22</v>
      </c>
      <c r="M144" s="35"/>
      <c r="N144" s="35">
        <f>SUM(N142:N143)</f>
        <v>6463.43</v>
      </c>
      <c r="O144" s="35"/>
      <c r="P144" s="35">
        <f>SUM(P142:P143)</f>
        <v>19710</v>
      </c>
      <c r="Q144" s="35"/>
      <c r="R144" s="35">
        <f>SUM(R142:R143)</f>
        <v>123376.65</v>
      </c>
      <c r="S144" s="36">
        <f>SUM(S142:S143)</f>
        <v>493506.6</v>
      </c>
    </row>
    <row r="145" spans="1:20" ht="29.4" customHeight="1" x14ac:dyDescent="0.25">
      <c r="A145" s="15"/>
      <c r="B145" s="55" t="s">
        <v>222</v>
      </c>
      <c r="C145" s="85"/>
      <c r="D145" s="85"/>
      <c r="E145" s="94"/>
      <c r="F145" s="85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110"/>
    </row>
    <row r="146" spans="1:20" x14ac:dyDescent="0.25">
      <c r="A146" s="20" t="s">
        <v>224</v>
      </c>
      <c r="B146" s="21" t="s">
        <v>206</v>
      </c>
      <c r="C146" s="22">
        <v>1</v>
      </c>
      <c r="D146" s="22">
        <v>12</v>
      </c>
      <c r="E146" s="23">
        <f>6773*C146</f>
        <v>6773</v>
      </c>
      <c r="F146" s="22">
        <f>E146*0.1</f>
        <v>677.30000000000007</v>
      </c>
      <c r="G146" s="23">
        <f t="shared" ref="G146:G151" si="62">E146+F146</f>
        <v>7450.3</v>
      </c>
      <c r="H146" s="23"/>
      <c r="I146" s="23"/>
      <c r="J146" s="23"/>
      <c r="K146" s="23">
        <f>G146*0.3</f>
        <v>2235.09</v>
      </c>
      <c r="L146" s="23">
        <f>20000*C146-G146-K146</f>
        <v>10314.61</v>
      </c>
      <c r="M146" s="23"/>
      <c r="N146" s="23"/>
      <c r="O146" s="23"/>
      <c r="P146" s="23"/>
      <c r="Q146" s="23"/>
      <c r="R146" s="23">
        <f>G146+K146+L146</f>
        <v>20000</v>
      </c>
      <c r="S146" s="25">
        <f>R146*4</f>
        <v>80000</v>
      </c>
    </row>
    <row r="147" spans="1:20" x14ac:dyDescent="0.25">
      <c r="A147" s="20" t="s">
        <v>225</v>
      </c>
      <c r="B147" s="21" t="s">
        <v>91</v>
      </c>
      <c r="C147" s="22">
        <v>1</v>
      </c>
      <c r="D147" s="22">
        <v>7</v>
      </c>
      <c r="E147" s="23">
        <v>4920</v>
      </c>
      <c r="F147" s="22"/>
      <c r="G147" s="23">
        <f t="shared" si="62"/>
        <v>4920</v>
      </c>
      <c r="H147" s="23"/>
      <c r="I147" s="23"/>
      <c r="J147" s="23"/>
      <c r="K147" s="23">
        <f>G147*0.3</f>
        <v>1476</v>
      </c>
      <c r="L147" s="23">
        <f>13500-G147-K147</f>
        <v>7104</v>
      </c>
      <c r="M147" s="23"/>
      <c r="N147" s="23"/>
      <c r="O147" s="23"/>
      <c r="P147" s="23"/>
      <c r="Q147" s="23"/>
      <c r="R147" s="23">
        <f>G147+K147+L147</f>
        <v>13500</v>
      </c>
      <c r="S147" s="25">
        <f t="shared" ref="S147:S148" si="63">R147*4</f>
        <v>54000</v>
      </c>
    </row>
    <row r="148" spans="1:20" x14ac:dyDescent="0.25">
      <c r="A148" s="20" t="s">
        <v>226</v>
      </c>
      <c r="B148" s="21" t="s">
        <v>134</v>
      </c>
      <c r="C148" s="22">
        <v>1</v>
      </c>
      <c r="D148" s="22">
        <v>3</v>
      </c>
      <c r="E148" s="23">
        <v>3770</v>
      </c>
      <c r="F148" s="22"/>
      <c r="G148" s="23">
        <f t="shared" si="62"/>
        <v>3770</v>
      </c>
      <c r="H148" s="23"/>
      <c r="I148" s="23">
        <f>G148*0.1</f>
        <v>377</v>
      </c>
      <c r="J148" s="23"/>
      <c r="K148" s="23"/>
      <c r="L148" s="23"/>
      <c r="M148" s="23"/>
      <c r="N148" s="23"/>
      <c r="O148" s="23"/>
      <c r="P148" s="23">
        <f>8000-G148</f>
        <v>4230</v>
      </c>
      <c r="Q148" s="23"/>
      <c r="R148" s="23">
        <f>SUM(G148:Q148)</f>
        <v>8377</v>
      </c>
      <c r="S148" s="25">
        <f t="shared" si="63"/>
        <v>33508</v>
      </c>
    </row>
    <row r="149" spans="1:20" x14ac:dyDescent="0.25">
      <c r="A149" s="20" t="s">
        <v>228</v>
      </c>
      <c r="B149" s="21" t="s">
        <v>227</v>
      </c>
      <c r="C149" s="22">
        <v>1.75</v>
      </c>
      <c r="D149" s="22">
        <v>1</v>
      </c>
      <c r="E149" s="23">
        <f>3195*C149</f>
        <v>5591.25</v>
      </c>
      <c r="F149" s="22"/>
      <c r="G149" s="23">
        <f t="shared" si="62"/>
        <v>5591.25</v>
      </c>
      <c r="H149" s="23"/>
      <c r="I149" s="23"/>
      <c r="J149" s="23"/>
      <c r="K149" s="23"/>
      <c r="L149" s="23"/>
      <c r="M149" s="23"/>
      <c r="N149" s="23"/>
      <c r="O149" s="23"/>
      <c r="P149" s="23">
        <f>8000*C149-G149</f>
        <v>8408.75</v>
      </c>
      <c r="Q149" s="23"/>
      <c r="R149" s="23">
        <f>SUM(G149:Q149)</f>
        <v>14000</v>
      </c>
      <c r="S149" s="25">
        <f>R149*3</f>
        <v>42000</v>
      </c>
    </row>
    <row r="150" spans="1:20" s="38" customFormat="1" x14ac:dyDescent="0.25">
      <c r="A150" s="20" t="s">
        <v>231</v>
      </c>
      <c r="B150" s="21" t="s">
        <v>229</v>
      </c>
      <c r="C150" s="22">
        <v>0.5</v>
      </c>
      <c r="D150" s="22">
        <v>1</v>
      </c>
      <c r="E150" s="23">
        <v>1597.5</v>
      </c>
      <c r="F150" s="22"/>
      <c r="G150" s="23">
        <f t="shared" si="62"/>
        <v>1597.5</v>
      </c>
      <c r="H150" s="23"/>
      <c r="I150" s="23"/>
      <c r="J150" s="23"/>
      <c r="K150" s="23"/>
      <c r="L150" s="23"/>
      <c r="M150" s="23"/>
      <c r="N150" s="23"/>
      <c r="O150" s="23"/>
      <c r="P150" s="23">
        <f>4000-G150</f>
        <v>2402.5</v>
      </c>
      <c r="Q150" s="23"/>
      <c r="R150" s="23">
        <f>SUM(G150:Q150)</f>
        <v>4000</v>
      </c>
      <c r="S150" s="25">
        <f>R150*4</f>
        <v>16000</v>
      </c>
    </row>
    <row r="151" spans="1:20" s="27" customFormat="1" ht="27" customHeight="1" thickBot="1" x14ac:dyDescent="0.3">
      <c r="A151" s="64"/>
      <c r="B151" s="47" t="s">
        <v>59</v>
      </c>
      <c r="C151" s="34">
        <f>SUM(C146:C150)</f>
        <v>5.25</v>
      </c>
      <c r="D151" s="34"/>
      <c r="E151" s="35">
        <f>SUM(E146:E150)</f>
        <v>22651.75</v>
      </c>
      <c r="F151" s="34">
        <f>SUM(F146:F150)</f>
        <v>677.30000000000007</v>
      </c>
      <c r="G151" s="35">
        <f t="shared" si="62"/>
        <v>23329.05</v>
      </c>
      <c r="H151" s="35"/>
      <c r="I151" s="35">
        <f>SUM(I148:I150)</f>
        <v>377</v>
      </c>
      <c r="J151" s="35"/>
      <c r="K151" s="35">
        <f>SUM(K146:K150)</f>
        <v>3711.09</v>
      </c>
      <c r="L151" s="35">
        <f>SUM(L146:L150)</f>
        <v>17418.61</v>
      </c>
      <c r="M151" s="35"/>
      <c r="N151" s="35"/>
      <c r="O151" s="35"/>
      <c r="P151" s="35">
        <f>SUM(P146:P150)</f>
        <v>15041.25</v>
      </c>
      <c r="Q151" s="35"/>
      <c r="R151" s="35">
        <f>SUM(R146:R150)</f>
        <v>59877</v>
      </c>
      <c r="S151" s="36">
        <f>SUM(S146:S150)</f>
        <v>225508</v>
      </c>
    </row>
    <row r="152" spans="1:20" ht="23.4" customHeight="1" x14ac:dyDescent="0.25">
      <c r="A152" s="15"/>
      <c r="B152" s="55" t="s">
        <v>230</v>
      </c>
      <c r="C152" s="85"/>
      <c r="D152" s="85"/>
      <c r="E152" s="94"/>
      <c r="F152" s="85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110"/>
    </row>
    <row r="153" spans="1:20" x14ac:dyDescent="0.25">
      <c r="A153" s="20" t="s">
        <v>233</v>
      </c>
      <c r="B153" s="21" t="s">
        <v>232</v>
      </c>
      <c r="C153" s="22">
        <v>1.25</v>
      </c>
      <c r="D153" s="22">
        <v>13</v>
      </c>
      <c r="E153" s="23">
        <f>7253*C153</f>
        <v>9066.25</v>
      </c>
      <c r="F153" s="22">
        <f>E153*0.1</f>
        <v>906.625</v>
      </c>
      <c r="G153" s="23">
        <f t="shared" ref="G153:G157" si="64">E153+F153</f>
        <v>9972.875</v>
      </c>
      <c r="H153" s="23"/>
      <c r="I153" s="23"/>
      <c r="J153" s="23"/>
      <c r="K153" s="23">
        <f>G153*0.3</f>
        <v>2991.8624999999997</v>
      </c>
      <c r="L153" s="23">
        <f>20000*C153-G153-K153</f>
        <v>12035.262500000001</v>
      </c>
      <c r="M153" s="23"/>
      <c r="N153" s="23"/>
      <c r="O153" s="23"/>
      <c r="P153" s="23"/>
      <c r="Q153" s="23"/>
      <c r="R153" s="23">
        <f>G153+K153+L153+O153</f>
        <v>25000</v>
      </c>
      <c r="S153" s="25">
        <f>R153*4</f>
        <v>100000</v>
      </c>
    </row>
    <row r="154" spans="1:20" x14ac:dyDescent="0.25">
      <c r="A154" s="20" t="s">
        <v>234</v>
      </c>
      <c r="B154" s="21" t="s">
        <v>212</v>
      </c>
      <c r="C154" s="22">
        <v>2</v>
      </c>
      <c r="D154" s="22">
        <v>10</v>
      </c>
      <c r="E154" s="23">
        <f>5815*C154</f>
        <v>11630</v>
      </c>
      <c r="F154" s="22"/>
      <c r="G154" s="23">
        <f t="shared" si="64"/>
        <v>11630</v>
      </c>
      <c r="H154" s="23"/>
      <c r="I154" s="23"/>
      <c r="J154" s="23"/>
      <c r="K154" s="23">
        <f t="shared" ref="K154:K155" si="65">G154*0.3</f>
        <v>3489</v>
      </c>
      <c r="L154" s="23">
        <f>13500*C154-G154-K154</f>
        <v>11881</v>
      </c>
      <c r="M154" s="23"/>
      <c r="N154" s="23"/>
      <c r="O154" s="23"/>
      <c r="P154" s="23"/>
      <c r="Q154" s="23"/>
      <c r="R154" s="23">
        <f>G154+K154+L154</f>
        <v>27000</v>
      </c>
      <c r="S154" s="25">
        <f t="shared" ref="S154:S156" si="66">R154*4</f>
        <v>108000</v>
      </c>
    </row>
    <row r="155" spans="1:20" s="13" customFormat="1" x14ac:dyDescent="0.25">
      <c r="A155" s="20" t="s">
        <v>236</v>
      </c>
      <c r="B155" s="21" t="s">
        <v>235</v>
      </c>
      <c r="C155" s="22">
        <v>1</v>
      </c>
      <c r="D155" s="22">
        <v>7</v>
      </c>
      <c r="E155" s="23">
        <v>4920</v>
      </c>
      <c r="F155" s="22"/>
      <c r="G155" s="23">
        <f t="shared" si="64"/>
        <v>4920</v>
      </c>
      <c r="H155" s="23"/>
      <c r="I155" s="23"/>
      <c r="J155" s="23"/>
      <c r="K155" s="23">
        <f t="shared" si="65"/>
        <v>1476</v>
      </c>
      <c r="L155" s="23">
        <f>13500-G155-K155</f>
        <v>7104</v>
      </c>
      <c r="M155" s="23"/>
      <c r="N155" s="23"/>
      <c r="O155" s="23"/>
      <c r="P155" s="23"/>
      <c r="Q155" s="23"/>
      <c r="R155" s="23">
        <f>G155+L155+K155</f>
        <v>13500</v>
      </c>
      <c r="S155" s="25">
        <f t="shared" si="66"/>
        <v>54000</v>
      </c>
    </row>
    <row r="156" spans="1:20" s="38" customFormat="1" x14ac:dyDescent="0.25">
      <c r="A156" s="20" t="s">
        <v>238</v>
      </c>
      <c r="B156" s="21" t="s">
        <v>134</v>
      </c>
      <c r="C156" s="22">
        <v>1</v>
      </c>
      <c r="D156" s="22">
        <v>3</v>
      </c>
      <c r="E156" s="23">
        <v>3770</v>
      </c>
      <c r="F156" s="22"/>
      <c r="G156" s="23">
        <f t="shared" si="64"/>
        <v>3770</v>
      </c>
      <c r="H156" s="23"/>
      <c r="I156" s="23">
        <f>G156*0.1</f>
        <v>377</v>
      </c>
      <c r="J156" s="23"/>
      <c r="K156" s="23"/>
      <c r="L156" s="23"/>
      <c r="M156" s="23"/>
      <c r="N156" s="23"/>
      <c r="O156" s="23"/>
      <c r="P156" s="23">
        <f>8000-G156</f>
        <v>4230</v>
      </c>
      <c r="Q156" s="23"/>
      <c r="R156" s="23">
        <f>G156+I156+P156</f>
        <v>8377</v>
      </c>
      <c r="S156" s="25">
        <f t="shared" si="66"/>
        <v>33508</v>
      </c>
      <c r="T156" s="46"/>
    </row>
    <row r="157" spans="1:20" s="27" customFormat="1" ht="27" customHeight="1" thickBot="1" x14ac:dyDescent="0.3">
      <c r="A157" s="64"/>
      <c r="B157" s="47" t="s">
        <v>59</v>
      </c>
      <c r="C157" s="34">
        <f>SUM(C153:C156)</f>
        <v>5.25</v>
      </c>
      <c r="D157" s="34"/>
      <c r="E157" s="35">
        <f>SUM(E153:E156)</f>
        <v>29386.25</v>
      </c>
      <c r="F157" s="34">
        <f>SUM(F153:F156)</f>
        <v>906.625</v>
      </c>
      <c r="G157" s="35">
        <f t="shared" si="64"/>
        <v>30292.875</v>
      </c>
      <c r="H157" s="35"/>
      <c r="I157" s="35">
        <f>SUM(I156)</f>
        <v>377</v>
      </c>
      <c r="J157" s="35"/>
      <c r="K157" s="35">
        <f>SUM(K153:K156)</f>
        <v>7956.8624999999993</v>
      </c>
      <c r="L157" s="35">
        <f>SUM(L153:L156)</f>
        <v>31020.262500000001</v>
      </c>
      <c r="M157" s="35">
        <f>SUM(M153:M155)</f>
        <v>0</v>
      </c>
      <c r="N157" s="35"/>
      <c r="O157" s="35">
        <f>SUM(O153:O156)</f>
        <v>0</v>
      </c>
      <c r="P157" s="35">
        <f>SUM(P156)</f>
        <v>4230</v>
      </c>
      <c r="Q157" s="35"/>
      <c r="R157" s="35">
        <f>SUM(R153:R156)</f>
        <v>73877</v>
      </c>
      <c r="S157" s="36">
        <f>SUM(S153:S156)</f>
        <v>295508</v>
      </c>
    </row>
    <row r="158" spans="1:20" ht="17.399999999999999" customHeight="1" x14ac:dyDescent="0.25">
      <c r="A158" s="15"/>
      <c r="B158" s="55" t="s">
        <v>237</v>
      </c>
      <c r="C158" s="85"/>
      <c r="D158" s="85"/>
      <c r="E158" s="94"/>
      <c r="F158" s="85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110"/>
    </row>
    <row r="159" spans="1:20" x14ac:dyDescent="0.25">
      <c r="A159" s="20" t="s">
        <v>239</v>
      </c>
      <c r="B159" s="21" t="s">
        <v>206</v>
      </c>
      <c r="C159" s="22">
        <v>2.25</v>
      </c>
      <c r="D159" s="22">
        <v>11</v>
      </c>
      <c r="E159" s="23">
        <f>6294*C159</f>
        <v>14161.5</v>
      </c>
      <c r="F159" s="22">
        <f>E159*0.1</f>
        <v>1416.15</v>
      </c>
      <c r="G159" s="23">
        <f t="shared" ref="G159:G164" si="67">E159+F159</f>
        <v>15577.65</v>
      </c>
      <c r="H159" s="23"/>
      <c r="I159" s="23"/>
      <c r="J159" s="23"/>
      <c r="K159" s="23">
        <f>G159*0.3</f>
        <v>4673.2950000000001</v>
      </c>
      <c r="L159" s="23">
        <f>20000*C159-G159-K159</f>
        <v>24749.055</v>
      </c>
      <c r="M159" s="23"/>
      <c r="N159" s="23"/>
      <c r="O159" s="23"/>
      <c r="P159" s="23"/>
      <c r="Q159" s="23"/>
      <c r="R159" s="23">
        <f>SUM(G159:Q159)</f>
        <v>45000</v>
      </c>
      <c r="S159" s="25">
        <f>R159*4</f>
        <v>180000</v>
      </c>
    </row>
    <row r="160" spans="1:20" x14ac:dyDescent="0.25">
      <c r="A160" s="20" t="s">
        <v>240</v>
      </c>
      <c r="B160" s="21" t="s">
        <v>241</v>
      </c>
      <c r="C160" s="22">
        <v>2</v>
      </c>
      <c r="D160" s="22">
        <v>10</v>
      </c>
      <c r="E160" s="23">
        <f>5815*C160</f>
        <v>11630</v>
      </c>
      <c r="F160" s="22"/>
      <c r="G160" s="23">
        <f t="shared" si="67"/>
        <v>11630</v>
      </c>
      <c r="H160" s="23"/>
      <c r="I160" s="23"/>
      <c r="J160" s="23"/>
      <c r="K160" s="23">
        <f t="shared" ref="K160:K161" si="68">G160*0.3</f>
        <v>3489</v>
      </c>
      <c r="L160" s="23">
        <f>13500*C160-G160-K160</f>
        <v>11881</v>
      </c>
      <c r="M160" s="23"/>
      <c r="N160" s="23"/>
      <c r="O160" s="23"/>
      <c r="P160" s="23"/>
      <c r="Q160" s="23"/>
      <c r="R160" s="23">
        <f>G160+K160+L160</f>
        <v>27000</v>
      </c>
      <c r="S160" s="25">
        <f t="shared" ref="S160:S163" si="69">R160*4</f>
        <v>108000</v>
      </c>
    </row>
    <row r="161" spans="1:20" s="13" customFormat="1" x14ac:dyDescent="0.25">
      <c r="A161" s="20" t="s">
        <v>242</v>
      </c>
      <c r="B161" s="21" t="s">
        <v>91</v>
      </c>
      <c r="C161" s="22">
        <v>2</v>
      </c>
      <c r="D161" s="22">
        <v>9</v>
      </c>
      <c r="E161" s="23">
        <f>5527*C161</f>
        <v>11054</v>
      </c>
      <c r="F161" s="22"/>
      <c r="G161" s="23">
        <f t="shared" si="67"/>
        <v>11054</v>
      </c>
      <c r="H161" s="23"/>
      <c r="I161" s="23"/>
      <c r="J161" s="23"/>
      <c r="K161" s="23">
        <f t="shared" si="68"/>
        <v>3316.2</v>
      </c>
      <c r="L161" s="23">
        <f>13500*C161-G161-K161</f>
        <v>12629.8</v>
      </c>
      <c r="M161" s="23"/>
      <c r="N161" s="23"/>
      <c r="O161" s="23"/>
      <c r="P161" s="23"/>
      <c r="Q161" s="23"/>
      <c r="R161" s="23">
        <f>G161+K161+L161</f>
        <v>27000</v>
      </c>
      <c r="S161" s="25">
        <f t="shared" si="69"/>
        <v>108000</v>
      </c>
    </row>
    <row r="162" spans="1:20" x14ac:dyDescent="0.25">
      <c r="A162" s="20" t="s">
        <v>243</v>
      </c>
      <c r="B162" s="21" t="s">
        <v>134</v>
      </c>
      <c r="C162" s="22">
        <v>1</v>
      </c>
      <c r="D162" s="22">
        <v>3</v>
      </c>
      <c r="E162" s="23">
        <v>3770</v>
      </c>
      <c r="F162" s="22"/>
      <c r="G162" s="23">
        <f t="shared" si="67"/>
        <v>3770</v>
      </c>
      <c r="H162" s="23"/>
      <c r="I162" s="23">
        <f>G162*0.1</f>
        <v>377</v>
      </c>
      <c r="J162" s="23"/>
      <c r="K162" s="23"/>
      <c r="L162" s="23"/>
      <c r="M162" s="23"/>
      <c r="N162" s="23"/>
      <c r="O162" s="23"/>
      <c r="P162" s="23">
        <f>8000-G162</f>
        <v>4230</v>
      </c>
      <c r="Q162" s="23"/>
      <c r="R162" s="23">
        <f>SUM(G162:Q162)</f>
        <v>8377</v>
      </c>
      <c r="S162" s="25">
        <f t="shared" si="69"/>
        <v>33508</v>
      </c>
    </row>
    <row r="163" spans="1:20" s="38" customFormat="1" x14ac:dyDescent="0.25">
      <c r="A163" s="20" t="s">
        <v>244</v>
      </c>
      <c r="B163" s="21" t="s">
        <v>245</v>
      </c>
      <c r="C163" s="22">
        <v>1</v>
      </c>
      <c r="D163" s="22">
        <v>5</v>
      </c>
      <c r="E163" s="23">
        <v>4345</v>
      </c>
      <c r="F163" s="22"/>
      <c r="G163" s="23">
        <f t="shared" si="67"/>
        <v>4345</v>
      </c>
      <c r="H163" s="23"/>
      <c r="I163" s="23"/>
      <c r="J163" s="23"/>
      <c r="K163" s="23"/>
      <c r="L163" s="23"/>
      <c r="M163" s="23"/>
      <c r="N163" s="23"/>
      <c r="O163" s="23"/>
      <c r="P163" s="23">
        <f>8000-G163</f>
        <v>3655</v>
      </c>
      <c r="Q163" s="23"/>
      <c r="R163" s="23">
        <f>G163+P163</f>
        <v>8000</v>
      </c>
      <c r="S163" s="25">
        <f t="shared" si="69"/>
        <v>32000</v>
      </c>
    </row>
    <row r="164" spans="1:20" s="27" customFormat="1" ht="17.399999999999999" customHeight="1" thickBot="1" x14ac:dyDescent="0.3">
      <c r="A164" s="64"/>
      <c r="B164" s="47" t="s">
        <v>59</v>
      </c>
      <c r="C164" s="34">
        <f>SUM(C159:C163)</f>
        <v>8.25</v>
      </c>
      <c r="D164" s="34"/>
      <c r="E164" s="35">
        <f>SUM(E159:E163)</f>
        <v>44960.5</v>
      </c>
      <c r="F164" s="34">
        <f>SUM(F159:F163)</f>
        <v>1416.15</v>
      </c>
      <c r="G164" s="35">
        <f t="shared" si="67"/>
        <v>46376.65</v>
      </c>
      <c r="H164" s="35"/>
      <c r="I164" s="35">
        <f>SUM(I162:I163)</f>
        <v>377</v>
      </c>
      <c r="J164" s="35"/>
      <c r="K164" s="35">
        <f>SUM(K159:K163)</f>
        <v>11478.494999999999</v>
      </c>
      <c r="L164" s="35">
        <f>SUM(L159:L163)</f>
        <v>49259.854999999996</v>
      </c>
      <c r="M164" s="35">
        <f>M159</f>
        <v>0</v>
      </c>
      <c r="N164" s="35"/>
      <c r="O164" s="35">
        <f>SUM(O159:O163)</f>
        <v>0</v>
      </c>
      <c r="P164" s="35">
        <f>SUM(P162:P163)</f>
        <v>7885</v>
      </c>
      <c r="Q164" s="35"/>
      <c r="R164" s="35">
        <f>SUM(R159:R163)</f>
        <v>115377</v>
      </c>
      <c r="S164" s="36">
        <f>SUM(S159:S163)</f>
        <v>461508</v>
      </c>
    </row>
    <row r="165" spans="1:20" s="13" customFormat="1" ht="25.8" customHeight="1" x14ac:dyDescent="0.2">
      <c r="A165" s="18"/>
      <c r="B165" s="55" t="s">
        <v>246</v>
      </c>
      <c r="C165" s="85"/>
      <c r="D165" s="85"/>
      <c r="E165" s="94"/>
      <c r="F165" s="85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110"/>
    </row>
    <row r="166" spans="1:20" x14ac:dyDescent="0.25">
      <c r="A166" s="20" t="s">
        <v>247</v>
      </c>
      <c r="B166" s="21" t="s">
        <v>232</v>
      </c>
      <c r="C166" s="22">
        <v>1.25</v>
      </c>
      <c r="D166" s="22">
        <v>11</v>
      </c>
      <c r="E166" s="23">
        <f>6294*C166</f>
        <v>7867.5</v>
      </c>
      <c r="F166" s="22">
        <f>E166*0.1</f>
        <v>786.75</v>
      </c>
      <c r="G166" s="23">
        <f t="shared" ref="G166:G169" si="70">E166+F166</f>
        <v>8654.25</v>
      </c>
      <c r="H166" s="23"/>
      <c r="I166" s="23"/>
      <c r="J166" s="23"/>
      <c r="K166" s="23">
        <f>G166*0.3</f>
        <v>2596.2750000000001</v>
      </c>
      <c r="L166" s="23">
        <f>20000*C166-G166-K166</f>
        <v>13749.475</v>
      </c>
      <c r="M166" s="23"/>
      <c r="N166" s="23"/>
      <c r="O166" s="23"/>
      <c r="P166" s="23"/>
      <c r="Q166" s="23"/>
      <c r="R166" s="23">
        <f>G166+K166+L166+O166</f>
        <v>25000</v>
      </c>
      <c r="S166" s="25">
        <f>R166*4</f>
        <v>100000</v>
      </c>
      <c r="T166" s="53"/>
    </row>
    <row r="167" spans="1:20" x14ac:dyDescent="0.25">
      <c r="A167" s="20" t="s">
        <v>248</v>
      </c>
      <c r="B167" s="21" t="s">
        <v>235</v>
      </c>
      <c r="C167" s="22">
        <v>1</v>
      </c>
      <c r="D167" s="22">
        <v>10</v>
      </c>
      <c r="E167" s="23">
        <v>5815</v>
      </c>
      <c r="F167" s="22"/>
      <c r="G167" s="23">
        <f t="shared" si="70"/>
        <v>5815</v>
      </c>
      <c r="H167" s="23"/>
      <c r="I167" s="23"/>
      <c r="J167" s="23"/>
      <c r="K167" s="23">
        <f t="shared" ref="K167:K168" si="71">G167*0.3</f>
        <v>1744.5</v>
      </c>
      <c r="L167" s="23">
        <f>13500-G167-K167</f>
        <v>5940.5</v>
      </c>
      <c r="M167" s="23"/>
      <c r="N167" s="23"/>
      <c r="O167" s="23"/>
      <c r="P167" s="23"/>
      <c r="Q167" s="23"/>
      <c r="R167" s="23">
        <f>G167+K167+L167</f>
        <v>13500</v>
      </c>
      <c r="S167" s="25">
        <f t="shared" ref="S167:S170" si="72">R167*4</f>
        <v>54000</v>
      </c>
    </row>
    <row r="168" spans="1:20" x14ac:dyDescent="0.25">
      <c r="A168" s="20" t="s">
        <v>249</v>
      </c>
      <c r="B168" s="21" t="s">
        <v>91</v>
      </c>
      <c r="C168" s="22">
        <v>0.5</v>
      </c>
      <c r="D168" s="22">
        <v>10</v>
      </c>
      <c r="E168" s="23">
        <v>2907.5</v>
      </c>
      <c r="F168" s="22"/>
      <c r="G168" s="23">
        <f t="shared" si="70"/>
        <v>2907.5</v>
      </c>
      <c r="H168" s="23"/>
      <c r="I168" s="23"/>
      <c r="J168" s="23"/>
      <c r="K168" s="23">
        <f t="shared" si="71"/>
        <v>872.25</v>
      </c>
      <c r="L168" s="23">
        <f>13500/2-G168-K168</f>
        <v>2970.25</v>
      </c>
      <c r="M168" s="23"/>
      <c r="N168" s="23"/>
      <c r="O168" s="23"/>
      <c r="P168" s="23"/>
      <c r="Q168" s="23"/>
      <c r="R168" s="23">
        <f>G168+K168+L168</f>
        <v>6750</v>
      </c>
      <c r="S168" s="25">
        <f t="shared" si="72"/>
        <v>27000</v>
      </c>
    </row>
    <row r="169" spans="1:20" x14ac:dyDescent="0.25">
      <c r="A169" s="20" t="s">
        <v>250</v>
      </c>
      <c r="B169" s="21" t="s">
        <v>134</v>
      </c>
      <c r="C169" s="22">
        <v>0.5</v>
      </c>
      <c r="D169" s="22">
        <v>3</v>
      </c>
      <c r="E169" s="23">
        <v>1885</v>
      </c>
      <c r="F169" s="22"/>
      <c r="G169" s="23">
        <f t="shared" si="70"/>
        <v>1885</v>
      </c>
      <c r="H169" s="23"/>
      <c r="I169" s="23">
        <f>G169*0.1</f>
        <v>188.5</v>
      </c>
      <c r="J169" s="23"/>
      <c r="K169" s="23"/>
      <c r="L169" s="23"/>
      <c r="M169" s="23"/>
      <c r="N169" s="23"/>
      <c r="O169" s="23"/>
      <c r="P169" s="23">
        <f>8000/2-G169</f>
        <v>2115</v>
      </c>
      <c r="Q169" s="23"/>
      <c r="R169" s="23">
        <f>SUM(G169:Q169)</f>
        <v>4188.5</v>
      </c>
      <c r="S169" s="25">
        <f t="shared" si="72"/>
        <v>16754</v>
      </c>
    </row>
    <row r="170" spans="1:20" s="38" customFormat="1" x14ac:dyDescent="0.25">
      <c r="A170" s="20" t="s">
        <v>251</v>
      </c>
      <c r="B170" s="21" t="s">
        <v>229</v>
      </c>
      <c r="C170" s="22">
        <v>0.5</v>
      </c>
      <c r="D170" s="22">
        <v>1</v>
      </c>
      <c r="E170" s="23">
        <v>1597.5</v>
      </c>
      <c r="F170" s="22"/>
      <c r="G170" s="23">
        <f>E170+F170</f>
        <v>1597.5</v>
      </c>
      <c r="H170" s="23"/>
      <c r="I170" s="23"/>
      <c r="J170" s="23"/>
      <c r="K170" s="23"/>
      <c r="L170" s="23"/>
      <c r="M170" s="23"/>
      <c r="N170" s="23"/>
      <c r="O170" s="23"/>
      <c r="P170" s="23">
        <f>8000/2-G170</f>
        <v>2402.5</v>
      </c>
      <c r="Q170" s="23"/>
      <c r="R170" s="23">
        <f t="shared" ref="R170" si="73">SUM(G170:Q170)</f>
        <v>4000</v>
      </c>
      <c r="S170" s="25">
        <f t="shared" si="72"/>
        <v>16000</v>
      </c>
    </row>
    <row r="171" spans="1:20" s="49" customFormat="1" ht="25.8" customHeight="1" thickBot="1" x14ac:dyDescent="0.3">
      <c r="A171" s="64"/>
      <c r="B171" s="47" t="s">
        <v>59</v>
      </c>
      <c r="C171" s="34">
        <f>SUM(C166:C170)</f>
        <v>3.75</v>
      </c>
      <c r="D171" s="34"/>
      <c r="E171" s="35">
        <f>SUM(E166:E170)</f>
        <v>20072.5</v>
      </c>
      <c r="F171" s="34">
        <f>SUM(F166:F170)</f>
        <v>786.75</v>
      </c>
      <c r="G171" s="35">
        <f>SUM(G166:G170)</f>
        <v>20859.25</v>
      </c>
      <c r="H171" s="35"/>
      <c r="I171" s="35">
        <f>SUM(I169:I170)</f>
        <v>188.5</v>
      </c>
      <c r="J171" s="35"/>
      <c r="K171" s="35">
        <f>SUM(K166:K170)</f>
        <v>5213.0249999999996</v>
      </c>
      <c r="L171" s="35">
        <f>SUM(L166:L170)</f>
        <v>22660.224999999999</v>
      </c>
      <c r="M171" s="35"/>
      <c r="N171" s="35"/>
      <c r="O171" s="35">
        <f>SUM(O166:O170)</f>
        <v>0</v>
      </c>
      <c r="P171" s="35">
        <f>SUM(P169:P170)</f>
        <v>4517.5</v>
      </c>
      <c r="Q171" s="35"/>
      <c r="R171" s="35">
        <f>SUM(R166:R170)</f>
        <v>53438.5</v>
      </c>
      <c r="S171" s="36">
        <f>SUM(S166:S170)</f>
        <v>213754</v>
      </c>
    </row>
    <row r="172" spans="1:20" s="13" customFormat="1" ht="23.4" customHeight="1" x14ac:dyDescent="0.2">
      <c r="A172" s="18"/>
      <c r="B172" s="55" t="s">
        <v>252</v>
      </c>
      <c r="C172" s="85"/>
      <c r="D172" s="85"/>
      <c r="E172" s="94"/>
      <c r="F172" s="85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110"/>
    </row>
    <row r="173" spans="1:20" s="13" customFormat="1" x14ac:dyDescent="0.25">
      <c r="A173" s="20" t="s">
        <v>253</v>
      </c>
      <c r="B173" s="21" t="s">
        <v>206</v>
      </c>
      <c r="C173" s="22">
        <v>1</v>
      </c>
      <c r="D173" s="22">
        <v>14</v>
      </c>
      <c r="E173" s="23">
        <v>7732</v>
      </c>
      <c r="F173" s="22">
        <f>E173*0.1</f>
        <v>773.2</v>
      </c>
      <c r="G173" s="23">
        <f t="shared" ref="G173:G180" si="74">E173+F173</f>
        <v>8505.2000000000007</v>
      </c>
      <c r="H173" s="23"/>
      <c r="I173" s="23"/>
      <c r="J173" s="23"/>
      <c r="K173" s="23">
        <f>G173*0.3</f>
        <v>2551.56</v>
      </c>
      <c r="L173" s="23">
        <f>20000-G173-K173</f>
        <v>8943.24</v>
      </c>
      <c r="M173" s="23"/>
      <c r="N173" s="23"/>
      <c r="O173" s="23"/>
      <c r="P173" s="23"/>
      <c r="Q173" s="23"/>
      <c r="R173" s="23">
        <f>G173+K173+L173+O173</f>
        <v>20000</v>
      </c>
      <c r="S173" s="25">
        <f>R173*4</f>
        <v>80000</v>
      </c>
    </row>
    <row r="174" spans="1:20" s="13" customFormat="1" x14ac:dyDescent="0.25">
      <c r="A174" s="20" t="s">
        <v>254</v>
      </c>
      <c r="B174" s="21" t="s">
        <v>112</v>
      </c>
      <c r="C174" s="22">
        <v>0.5</v>
      </c>
      <c r="D174" s="22">
        <v>13</v>
      </c>
      <c r="E174" s="23">
        <f>7253*C174</f>
        <v>3626.5</v>
      </c>
      <c r="F174" s="22"/>
      <c r="G174" s="23">
        <f t="shared" si="74"/>
        <v>3626.5</v>
      </c>
      <c r="H174" s="23"/>
      <c r="I174" s="23"/>
      <c r="J174" s="23"/>
      <c r="K174" s="23">
        <f t="shared" ref="K174:K177" si="75">G174*0.3</f>
        <v>1087.95</v>
      </c>
      <c r="L174" s="23">
        <f>20000*C174-G174-K174</f>
        <v>5285.55</v>
      </c>
      <c r="M174" s="23"/>
      <c r="N174" s="23"/>
      <c r="O174" s="23"/>
      <c r="P174" s="23"/>
      <c r="Q174" s="23"/>
      <c r="R174" s="23">
        <f>G174+K174+L174+O174</f>
        <v>10000</v>
      </c>
      <c r="S174" s="25">
        <f t="shared" ref="S174:S179" si="76">R174*4</f>
        <v>40000</v>
      </c>
    </row>
    <row r="175" spans="1:20" x14ac:dyDescent="0.25">
      <c r="A175" s="20" t="s">
        <v>255</v>
      </c>
      <c r="B175" s="21" t="s">
        <v>171</v>
      </c>
      <c r="C175" s="22">
        <v>1</v>
      </c>
      <c r="D175" s="22">
        <v>11</v>
      </c>
      <c r="E175" s="23">
        <v>6294</v>
      </c>
      <c r="F175" s="22"/>
      <c r="G175" s="23">
        <f t="shared" si="74"/>
        <v>6294</v>
      </c>
      <c r="H175" s="23"/>
      <c r="I175" s="23"/>
      <c r="J175" s="23"/>
      <c r="K175" s="23">
        <f t="shared" si="75"/>
        <v>1888.1999999999998</v>
      </c>
      <c r="L175" s="23">
        <f>20000-G175-K175</f>
        <v>11817.8</v>
      </c>
      <c r="M175" s="23"/>
      <c r="N175" s="23"/>
      <c r="O175" s="23"/>
      <c r="P175" s="23"/>
      <c r="Q175" s="23"/>
      <c r="R175" s="23">
        <f>G175+K175+L175+O175</f>
        <v>20000</v>
      </c>
      <c r="S175" s="25">
        <f t="shared" si="76"/>
        <v>80000</v>
      </c>
    </row>
    <row r="176" spans="1:20" x14ac:dyDescent="0.25">
      <c r="A176" s="20" t="s">
        <v>256</v>
      </c>
      <c r="B176" s="21" t="s">
        <v>212</v>
      </c>
      <c r="C176" s="22">
        <v>1</v>
      </c>
      <c r="D176" s="22">
        <v>10</v>
      </c>
      <c r="E176" s="23">
        <v>5815</v>
      </c>
      <c r="F176" s="22"/>
      <c r="G176" s="23">
        <f t="shared" si="74"/>
        <v>5815</v>
      </c>
      <c r="H176" s="23"/>
      <c r="I176" s="23"/>
      <c r="J176" s="23"/>
      <c r="K176" s="23">
        <f t="shared" si="75"/>
        <v>1744.5</v>
      </c>
      <c r="L176" s="23">
        <f>13500-G176-K176</f>
        <v>5940.5</v>
      </c>
      <c r="M176" s="23"/>
      <c r="N176" s="23"/>
      <c r="O176" s="23"/>
      <c r="P176" s="23"/>
      <c r="Q176" s="23"/>
      <c r="R176" s="23">
        <f>G176+K176+L176</f>
        <v>13500</v>
      </c>
      <c r="S176" s="25">
        <f t="shared" si="76"/>
        <v>54000</v>
      </c>
    </row>
    <row r="177" spans="1:20" x14ac:dyDescent="0.25">
      <c r="A177" s="20" t="s">
        <v>257</v>
      </c>
      <c r="B177" s="21" t="s">
        <v>235</v>
      </c>
      <c r="C177" s="22">
        <v>2</v>
      </c>
      <c r="D177" s="22">
        <v>10</v>
      </c>
      <c r="E177" s="23">
        <f>5815*C177</f>
        <v>11630</v>
      </c>
      <c r="F177" s="22"/>
      <c r="G177" s="23">
        <f t="shared" si="74"/>
        <v>11630</v>
      </c>
      <c r="H177" s="23"/>
      <c r="I177" s="23"/>
      <c r="J177" s="23"/>
      <c r="K177" s="23">
        <f t="shared" si="75"/>
        <v>3489</v>
      </c>
      <c r="L177" s="23">
        <f>13500*C177-G177-K177</f>
        <v>11881</v>
      </c>
      <c r="M177" s="23"/>
      <c r="N177" s="23"/>
      <c r="O177" s="23"/>
      <c r="P177" s="23"/>
      <c r="Q177" s="23"/>
      <c r="R177" s="23">
        <f t="shared" ref="R177" si="77">G177+K177+L177</f>
        <v>27000</v>
      </c>
      <c r="S177" s="25">
        <f t="shared" si="76"/>
        <v>108000</v>
      </c>
    </row>
    <row r="178" spans="1:20" x14ac:dyDescent="0.25">
      <c r="A178" s="20" t="s">
        <v>258</v>
      </c>
      <c r="B178" s="21" t="s">
        <v>134</v>
      </c>
      <c r="C178" s="22">
        <v>1</v>
      </c>
      <c r="D178" s="22">
        <v>3</v>
      </c>
      <c r="E178" s="23">
        <v>3770</v>
      </c>
      <c r="F178" s="22"/>
      <c r="G178" s="23">
        <f t="shared" si="74"/>
        <v>3770</v>
      </c>
      <c r="H178" s="23"/>
      <c r="I178" s="23">
        <f>G178*0.1</f>
        <v>377</v>
      </c>
      <c r="J178" s="23"/>
      <c r="K178" s="23"/>
      <c r="L178" s="23"/>
      <c r="M178" s="23"/>
      <c r="N178" s="23"/>
      <c r="O178" s="23"/>
      <c r="P178" s="23">
        <f>8000-G178</f>
        <v>4230</v>
      </c>
      <c r="Q178" s="23"/>
      <c r="R178" s="23">
        <f>G178+I178+P178</f>
        <v>8377</v>
      </c>
      <c r="S178" s="25">
        <f t="shared" si="76"/>
        <v>33508</v>
      </c>
      <c r="T178" s="53"/>
    </row>
    <row r="179" spans="1:20" s="38" customFormat="1" x14ac:dyDescent="0.25">
      <c r="A179" s="20" t="s">
        <v>260</v>
      </c>
      <c r="B179" s="21" t="s">
        <v>245</v>
      </c>
      <c r="C179" s="22">
        <v>0.5</v>
      </c>
      <c r="D179" s="22">
        <v>5</v>
      </c>
      <c r="E179" s="23">
        <v>2172.5</v>
      </c>
      <c r="F179" s="22"/>
      <c r="G179" s="23">
        <f t="shared" si="74"/>
        <v>2172.5</v>
      </c>
      <c r="H179" s="23"/>
      <c r="I179" s="23"/>
      <c r="J179" s="23"/>
      <c r="K179" s="23"/>
      <c r="L179" s="23"/>
      <c r="M179" s="23"/>
      <c r="N179" s="23"/>
      <c r="O179" s="23"/>
      <c r="P179" s="23">
        <f>8000/2-G179</f>
        <v>1827.5</v>
      </c>
      <c r="Q179" s="23"/>
      <c r="R179" s="23">
        <f>SUM(G179:Q179)</f>
        <v>4000</v>
      </c>
      <c r="S179" s="25">
        <f t="shared" si="76"/>
        <v>16000</v>
      </c>
    </row>
    <row r="180" spans="1:20" s="49" customFormat="1" ht="45" customHeight="1" thickBot="1" x14ac:dyDescent="0.3">
      <c r="A180" s="64"/>
      <c r="B180" s="47" t="s">
        <v>59</v>
      </c>
      <c r="C180" s="34">
        <f>SUM(C173:C179)</f>
        <v>7</v>
      </c>
      <c r="D180" s="34"/>
      <c r="E180" s="35">
        <f>SUM(E173:E179)</f>
        <v>41040</v>
      </c>
      <c r="F180" s="34">
        <f>SUM(F173:F179)</f>
        <v>773.2</v>
      </c>
      <c r="G180" s="35">
        <f t="shared" si="74"/>
        <v>41813.199999999997</v>
      </c>
      <c r="H180" s="35"/>
      <c r="I180" s="35">
        <f>SUM(I178:I179)</f>
        <v>377</v>
      </c>
      <c r="J180" s="35"/>
      <c r="K180" s="35">
        <f>SUM(K173:K179)</f>
        <v>10761.21</v>
      </c>
      <c r="L180" s="35">
        <f>SUM(L173:L179)</f>
        <v>43868.09</v>
      </c>
      <c r="M180" s="35"/>
      <c r="N180" s="35"/>
      <c r="O180" s="35">
        <f>SUM(O173:O179)</f>
        <v>0</v>
      </c>
      <c r="P180" s="35">
        <f>SUM(P173:P179)</f>
        <v>6057.5</v>
      </c>
      <c r="Q180" s="35"/>
      <c r="R180" s="35">
        <f>SUM(R173:R179)</f>
        <v>102877</v>
      </c>
      <c r="S180" s="36">
        <f>SUM(S173:S179)</f>
        <v>411508</v>
      </c>
    </row>
    <row r="181" spans="1:20" s="13" customFormat="1" ht="22.8" customHeight="1" x14ac:dyDescent="0.2">
      <c r="A181" s="18"/>
      <c r="B181" s="55" t="s">
        <v>259</v>
      </c>
      <c r="C181" s="85"/>
      <c r="D181" s="85"/>
      <c r="E181" s="94"/>
      <c r="F181" s="85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110"/>
    </row>
    <row r="182" spans="1:20" s="13" customFormat="1" x14ac:dyDescent="0.25">
      <c r="A182" s="20" t="s">
        <v>261</v>
      </c>
      <c r="B182" s="21" t="s">
        <v>206</v>
      </c>
      <c r="C182" s="22">
        <v>0.75</v>
      </c>
      <c r="D182" s="22">
        <v>14</v>
      </c>
      <c r="E182" s="23">
        <f>7732*C182</f>
        <v>5799</v>
      </c>
      <c r="F182" s="22">
        <f>E182*0.1</f>
        <v>579.9</v>
      </c>
      <c r="G182" s="23">
        <f t="shared" ref="G182:G185" si="78">E182+F182</f>
        <v>6378.9</v>
      </c>
      <c r="H182" s="23"/>
      <c r="I182" s="23"/>
      <c r="J182" s="23"/>
      <c r="K182" s="23"/>
      <c r="L182" s="23">
        <f>20000*C182-G182</f>
        <v>8621.1</v>
      </c>
      <c r="M182" s="23"/>
      <c r="N182" s="23"/>
      <c r="O182" s="23"/>
      <c r="P182" s="23"/>
      <c r="Q182" s="23"/>
      <c r="R182" s="23">
        <f>SUM(G182:Q182)</f>
        <v>15000</v>
      </c>
      <c r="S182" s="25">
        <f>R182*4</f>
        <v>60000</v>
      </c>
    </row>
    <row r="183" spans="1:20" x14ac:dyDescent="0.25">
      <c r="A183" s="20" t="s">
        <v>262</v>
      </c>
      <c r="B183" s="21" t="s">
        <v>235</v>
      </c>
      <c r="C183" s="22">
        <v>1</v>
      </c>
      <c r="D183" s="22">
        <v>10</v>
      </c>
      <c r="E183" s="23">
        <v>5815</v>
      </c>
      <c r="F183" s="22"/>
      <c r="G183" s="23">
        <f t="shared" si="78"/>
        <v>5815</v>
      </c>
      <c r="H183" s="23"/>
      <c r="I183" s="23"/>
      <c r="J183" s="23"/>
      <c r="K183" s="23">
        <f>G183*0.3</f>
        <v>1744.5</v>
      </c>
      <c r="L183" s="23">
        <f>13500-G183-K183</f>
        <v>5940.5</v>
      </c>
      <c r="M183" s="23"/>
      <c r="N183" s="23"/>
      <c r="O183" s="23"/>
      <c r="P183" s="23"/>
      <c r="Q183" s="23"/>
      <c r="R183" s="23">
        <f>G183+K183+L183</f>
        <v>13500</v>
      </c>
      <c r="S183" s="25">
        <f t="shared" ref="S183:S184" si="79">R183*4</f>
        <v>54000</v>
      </c>
      <c r="T183" s="53"/>
    </row>
    <row r="184" spans="1:20" s="38" customFormat="1" x14ac:dyDescent="0.25">
      <c r="A184" s="20" t="s">
        <v>264</v>
      </c>
      <c r="B184" s="21" t="s">
        <v>134</v>
      </c>
      <c r="C184" s="22">
        <v>1</v>
      </c>
      <c r="D184" s="22">
        <v>3</v>
      </c>
      <c r="E184" s="23">
        <v>3770</v>
      </c>
      <c r="F184" s="22"/>
      <c r="G184" s="23">
        <f t="shared" si="78"/>
        <v>3770</v>
      </c>
      <c r="H184" s="23"/>
      <c r="I184" s="23">
        <f>G184*0.1</f>
        <v>377</v>
      </c>
      <c r="J184" s="23"/>
      <c r="K184" s="23"/>
      <c r="L184" s="23"/>
      <c r="M184" s="23"/>
      <c r="N184" s="23"/>
      <c r="O184" s="23"/>
      <c r="P184" s="23">
        <f>8000-G184</f>
        <v>4230</v>
      </c>
      <c r="Q184" s="23"/>
      <c r="R184" s="23">
        <f>G184+I184+P184</f>
        <v>8377</v>
      </c>
      <c r="S184" s="25">
        <f t="shared" si="79"/>
        <v>33508</v>
      </c>
    </row>
    <row r="185" spans="1:20" s="49" customFormat="1" ht="23.4" customHeight="1" thickBot="1" x14ac:dyDescent="0.3">
      <c r="A185" s="64"/>
      <c r="B185" s="47" t="s">
        <v>59</v>
      </c>
      <c r="C185" s="34">
        <f>SUM(C182:C184)</f>
        <v>2.75</v>
      </c>
      <c r="D185" s="34"/>
      <c r="E185" s="35">
        <f>SUM(E182:E184)</f>
        <v>15384</v>
      </c>
      <c r="F185" s="34">
        <f>SUM(F182:F184)</f>
        <v>579.9</v>
      </c>
      <c r="G185" s="35">
        <f t="shared" si="78"/>
        <v>15963.9</v>
      </c>
      <c r="H185" s="35"/>
      <c r="I185" s="35">
        <f>SUM(I184)</f>
        <v>377</v>
      </c>
      <c r="J185" s="35"/>
      <c r="K185" s="35">
        <f>K183</f>
        <v>1744.5</v>
      </c>
      <c r="L185" s="35">
        <f>L182+L183</f>
        <v>14561.6</v>
      </c>
      <c r="M185" s="35">
        <f>M182</f>
        <v>0</v>
      </c>
      <c r="N185" s="35"/>
      <c r="O185" s="35"/>
      <c r="P185" s="35">
        <f>SUM(P184)</f>
        <v>4230</v>
      </c>
      <c r="Q185" s="35"/>
      <c r="R185" s="35">
        <f>SUM(R182:R184)</f>
        <v>36877</v>
      </c>
      <c r="S185" s="36">
        <f>SUM(S182:S184)</f>
        <v>147508</v>
      </c>
    </row>
    <row r="186" spans="1:20" ht="21" customHeight="1" x14ac:dyDescent="0.25">
      <c r="A186" s="15"/>
      <c r="B186" s="55" t="s">
        <v>312</v>
      </c>
      <c r="C186" s="85"/>
      <c r="D186" s="85"/>
      <c r="E186" s="94"/>
      <c r="F186" s="85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110"/>
    </row>
    <row r="187" spans="1:20" ht="24.6" customHeight="1" x14ac:dyDescent="0.25">
      <c r="A187" s="20"/>
      <c r="B187" s="44" t="s">
        <v>263</v>
      </c>
      <c r="C187" s="22"/>
      <c r="D187" s="22"/>
      <c r="E187" s="23"/>
      <c r="F187" s="22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5"/>
    </row>
    <row r="188" spans="1:20" x14ac:dyDescent="0.25">
      <c r="A188" s="20" t="s">
        <v>264</v>
      </c>
      <c r="B188" s="21" t="s">
        <v>220</v>
      </c>
      <c r="C188" s="22">
        <v>0.5</v>
      </c>
      <c r="D188" s="22">
        <v>10</v>
      </c>
      <c r="E188" s="23">
        <v>2907.5</v>
      </c>
      <c r="F188" s="22"/>
      <c r="G188" s="23">
        <f t="shared" ref="G188:G191" si="80">E188+F188</f>
        <v>2907.5</v>
      </c>
      <c r="H188" s="23"/>
      <c r="I188" s="23"/>
      <c r="J188" s="23"/>
      <c r="K188" s="23">
        <f>G188*0.3</f>
        <v>872.25</v>
      </c>
      <c r="L188" s="23">
        <f>R188-K188-G188</f>
        <v>2970.25</v>
      </c>
      <c r="M188" s="23"/>
      <c r="N188" s="23"/>
      <c r="O188" s="23"/>
      <c r="P188" s="23"/>
      <c r="Q188" s="23"/>
      <c r="R188" s="23">
        <v>6750</v>
      </c>
      <c r="S188" s="25">
        <f>R188*4</f>
        <v>27000</v>
      </c>
    </row>
    <row r="189" spans="1:20" x14ac:dyDescent="0.25">
      <c r="A189" s="20" t="s">
        <v>265</v>
      </c>
      <c r="B189" s="21" t="s">
        <v>134</v>
      </c>
      <c r="C189" s="22">
        <v>0.25</v>
      </c>
      <c r="D189" s="22">
        <v>3</v>
      </c>
      <c r="E189" s="23">
        <v>942.5</v>
      </c>
      <c r="F189" s="22"/>
      <c r="G189" s="23">
        <f t="shared" si="80"/>
        <v>942.5</v>
      </c>
      <c r="H189" s="23"/>
      <c r="I189" s="23">
        <f>G189*0.1</f>
        <v>94.25</v>
      </c>
      <c r="J189" s="23"/>
      <c r="K189" s="23"/>
      <c r="L189" s="23"/>
      <c r="M189" s="23"/>
      <c r="N189" s="23"/>
      <c r="O189" s="23"/>
      <c r="P189" s="23">
        <f>8000*0.25-G189</f>
        <v>1057.5</v>
      </c>
      <c r="Q189" s="23"/>
      <c r="R189" s="23">
        <f>E189+I189+P189</f>
        <v>2094.25</v>
      </c>
      <c r="S189" s="25">
        <f>R189*4</f>
        <v>8377</v>
      </c>
    </row>
    <row r="190" spans="1:20" s="38" customFormat="1" x14ac:dyDescent="0.25">
      <c r="A190" s="20" t="s">
        <v>266</v>
      </c>
      <c r="B190" s="21" t="s">
        <v>267</v>
      </c>
      <c r="C190" s="22">
        <v>0.25</v>
      </c>
      <c r="D190" s="22">
        <v>1</v>
      </c>
      <c r="E190" s="23">
        <v>798.75</v>
      </c>
      <c r="F190" s="22"/>
      <c r="G190" s="23">
        <f t="shared" si="80"/>
        <v>798.75</v>
      </c>
      <c r="H190" s="23"/>
      <c r="I190" s="23"/>
      <c r="J190" s="23"/>
      <c r="K190" s="23"/>
      <c r="L190" s="23"/>
      <c r="M190" s="23"/>
      <c r="N190" s="23"/>
      <c r="O190" s="23"/>
      <c r="P190" s="23">
        <f>8000*0.25-G190</f>
        <v>1201.25</v>
      </c>
      <c r="Q190" s="23"/>
      <c r="R190" s="23">
        <f>E190+P190</f>
        <v>2000</v>
      </c>
      <c r="S190" s="25">
        <f>R190*3</f>
        <v>6000</v>
      </c>
    </row>
    <row r="191" spans="1:20" s="27" customFormat="1" ht="24" customHeight="1" thickBot="1" x14ac:dyDescent="0.3">
      <c r="A191" s="112"/>
      <c r="B191" s="113" t="s">
        <v>59</v>
      </c>
      <c r="C191" s="114">
        <f>C188+C189+C190</f>
        <v>1</v>
      </c>
      <c r="D191" s="114"/>
      <c r="E191" s="115">
        <f>E188+E189+E190</f>
        <v>4648.75</v>
      </c>
      <c r="F191" s="114"/>
      <c r="G191" s="115">
        <f t="shared" si="80"/>
        <v>4648.75</v>
      </c>
      <c r="H191" s="115"/>
      <c r="I191" s="115">
        <f>SUM(I189)</f>
        <v>94.25</v>
      </c>
      <c r="J191" s="115"/>
      <c r="K191" s="115">
        <f>SUM(K188:K189)</f>
        <v>872.25</v>
      </c>
      <c r="L191" s="115">
        <f>SUM(L188:L189)</f>
        <v>2970.25</v>
      </c>
      <c r="M191" s="115"/>
      <c r="N191" s="115"/>
      <c r="O191" s="115"/>
      <c r="P191" s="115">
        <f>P189+P190</f>
        <v>2258.75</v>
      </c>
      <c r="Q191" s="115"/>
      <c r="R191" s="115">
        <f>SUM(R188:R190)</f>
        <v>10844.25</v>
      </c>
      <c r="S191" s="116">
        <f>SUM(S188:S190)</f>
        <v>41377</v>
      </c>
    </row>
    <row r="192" spans="1:20" s="13" customFormat="1" ht="20.399999999999999" customHeight="1" x14ac:dyDescent="0.2">
      <c r="A192" s="18"/>
      <c r="B192" s="55" t="s">
        <v>268</v>
      </c>
      <c r="C192" s="85"/>
      <c r="D192" s="85"/>
      <c r="E192" s="94"/>
      <c r="F192" s="85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110"/>
    </row>
    <row r="193" spans="1:20" x14ac:dyDescent="0.25">
      <c r="A193" s="20" t="s">
        <v>269</v>
      </c>
      <c r="B193" s="21" t="s">
        <v>220</v>
      </c>
      <c r="C193" s="22">
        <v>0.5</v>
      </c>
      <c r="D193" s="22">
        <v>9</v>
      </c>
      <c r="E193" s="23">
        <v>2763.5</v>
      </c>
      <c r="F193" s="22"/>
      <c r="G193" s="23">
        <f t="shared" ref="G193:G196" si="81">E193+F193</f>
        <v>2763.5</v>
      </c>
      <c r="H193" s="23"/>
      <c r="I193" s="23"/>
      <c r="J193" s="23"/>
      <c r="K193" s="23">
        <f>G193*0.3</f>
        <v>829.05</v>
      </c>
      <c r="L193" s="23">
        <f>6750-G193-K193</f>
        <v>3157.45</v>
      </c>
      <c r="M193" s="23"/>
      <c r="N193" s="23"/>
      <c r="O193" s="23"/>
      <c r="P193" s="23"/>
      <c r="Q193" s="23"/>
      <c r="R193" s="23">
        <f>G193+K193+L193</f>
        <v>6750</v>
      </c>
      <c r="S193" s="25">
        <f>R193*4</f>
        <v>27000</v>
      </c>
    </row>
    <row r="194" spans="1:20" x14ac:dyDescent="0.25">
      <c r="A194" s="20" t="s">
        <v>270</v>
      </c>
      <c r="B194" s="21" t="s">
        <v>134</v>
      </c>
      <c r="C194" s="22">
        <v>0.25</v>
      </c>
      <c r="D194" s="22">
        <v>3</v>
      </c>
      <c r="E194" s="23">
        <v>942.5</v>
      </c>
      <c r="F194" s="22"/>
      <c r="G194" s="23">
        <f t="shared" si="81"/>
        <v>942.5</v>
      </c>
      <c r="H194" s="23"/>
      <c r="I194" s="23">
        <f>G194*0.1</f>
        <v>94.25</v>
      </c>
      <c r="J194" s="23"/>
      <c r="K194" s="23"/>
      <c r="L194" s="23"/>
      <c r="M194" s="23"/>
      <c r="N194" s="23"/>
      <c r="O194" s="23"/>
      <c r="P194" s="23">
        <f>8000*0.25-G194</f>
        <v>1057.5</v>
      </c>
      <c r="Q194" s="23"/>
      <c r="R194" s="23">
        <f>E194+I194+P194</f>
        <v>2094.25</v>
      </c>
      <c r="S194" s="25">
        <f>R194*4</f>
        <v>8377</v>
      </c>
    </row>
    <row r="195" spans="1:20" s="38" customFormat="1" x14ac:dyDescent="0.25">
      <c r="A195" s="20" t="s">
        <v>271</v>
      </c>
      <c r="B195" s="21" t="s">
        <v>227</v>
      </c>
      <c r="C195" s="22">
        <v>0.5</v>
      </c>
      <c r="D195" s="22">
        <v>1</v>
      </c>
      <c r="E195" s="23">
        <v>1597.5</v>
      </c>
      <c r="F195" s="22"/>
      <c r="G195" s="23">
        <f t="shared" si="81"/>
        <v>1597.5</v>
      </c>
      <c r="H195" s="23"/>
      <c r="I195" s="23"/>
      <c r="J195" s="23"/>
      <c r="K195" s="23"/>
      <c r="L195" s="23"/>
      <c r="M195" s="23"/>
      <c r="N195" s="23"/>
      <c r="O195" s="23"/>
      <c r="P195" s="23">
        <f>8000/2-G195</f>
        <v>2402.5</v>
      </c>
      <c r="Q195" s="23"/>
      <c r="R195" s="23">
        <f>E195+P195</f>
        <v>4000</v>
      </c>
      <c r="S195" s="25">
        <f>R195*3</f>
        <v>12000</v>
      </c>
    </row>
    <row r="196" spans="1:20" s="27" customFormat="1" ht="27.6" customHeight="1" thickBot="1" x14ac:dyDescent="0.3">
      <c r="A196" s="64"/>
      <c r="B196" s="47" t="s">
        <v>59</v>
      </c>
      <c r="C196" s="34">
        <f>C193+C194+C195</f>
        <v>1.25</v>
      </c>
      <c r="D196" s="34"/>
      <c r="E196" s="35">
        <f>E193+E194+E195</f>
        <v>5303.5</v>
      </c>
      <c r="F196" s="34"/>
      <c r="G196" s="35">
        <f t="shared" si="81"/>
        <v>5303.5</v>
      </c>
      <c r="H196" s="35"/>
      <c r="I196" s="35">
        <f>SUM(I193:I194)</f>
        <v>94.25</v>
      </c>
      <c r="J196" s="35"/>
      <c r="K196" s="35">
        <f>SUM(K193:K195)</f>
        <v>829.05</v>
      </c>
      <c r="L196" s="35">
        <f>SUM(L192:L194)</f>
        <v>3157.45</v>
      </c>
      <c r="M196" s="35"/>
      <c r="N196" s="35"/>
      <c r="O196" s="35"/>
      <c r="P196" s="35">
        <f>P194+P195</f>
        <v>3460</v>
      </c>
      <c r="Q196" s="35"/>
      <c r="R196" s="35">
        <f>SUM(R193:R195)</f>
        <v>12844.25</v>
      </c>
      <c r="S196" s="36">
        <f>SUM(S193:S195)</f>
        <v>47377</v>
      </c>
    </row>
    <row r="197" spans="1:20" ht="22.8" customHeight="1" x14ac:dyDescent="0.25">
      <c r="A197" s="57"/>
      <c r="B197" s="111" t="s">
        <v>272</v>
      </c>
      <c r="C197" s="91"/>
      <c r="D197" s="91"/>
      <c r="E197" s="51"/>
      <c r="F197" s="9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97"/>
      <c r="T197" s="65"/>
    </row>
    <row r="198" spans="1:20" x14ac:dyDescent="0.25">
      <c r="A198" s="20" t="s">
        <v>273</v>
      </c>
      <c r="B198" s="21" t="s">
        <v>130</v>
      </c>
      <c r="C198" s="22">
        <v>1</v>
      </c>
      <c r="D198" s="22">
        <v>10</v>
      </c>
      <c r="E198" s="23">
        <v>5815</v>
      </c>
      <c r="F198" s="22"/>
      <c r="G198" s="23">
        <f t="shared" ref="G198:G201" si="82">E198+F198</f>
        <v>5815</v>
      </c>
      <c r="H198" s="23"/>
      <c r="I198" s="23"/>
      <c r="J198" s="23"/>
      <c r="K198" s="23">
        <f>G198*0.3</f>
        <v>1744.5</v>
      </c>
      <c r="L198" s="23">
        <f>13500-G198-K198</f>
        <v>5940.5</v>
      </c>
      <c r="M198" s="23"/>
      <c r="N198" s="23"/>
      <c r="O198" s="23"/>
      <c r="P198" s="23"/>
      <c r="Q198" s="23"/>
      <c r="R198" s="23">
        <f>G198+K198+L198</f>
        <v>13500</v>
      </c>
      <c r="S198" s="25">
        <f>R198*4</f>
        <v>54000</v>
      </c>
    </row>
    <row r="199" spans="1:20" x14ac:dyDescent="0.25">
      <c r="A199" s="20" t="s">
        <v>274</v>
      </c>
      <c r="B199" s="21" t="s">
        <v>134</v>
      </c>
      <c r="C199" s="22">
        <v>0.25</v>
      </c>
      <c r="D199" s="22">
        <v>3</v>
      </c>
      <c r="E199" s="23">
        <v>942.5</v>
      </c>
      <c r="F199" s="22"/>
      <c r="G199" s="23">
        <f t="shared" si="82"/>
        <v>942.5</v>
      </c>
      <c r="H199" s="23"/>
      <c r="I199" s="23">
        <f>G199*0.1</f>
        <v>94.25</v>
      </c>
      <c r="J199" s="23"/>
      <c r="K199" s="23"/>
      <c r="L199" s="23"/>
      <c r="M199" s="23"/>
      <c r="N199" s="23"/>
      <c r="O199" s="23"/>
      <c r="P199" s="23">
        <f>8000*0.25-G199</f>
        <v>1057.5</v>
      </c>
      <c r="Q199" s="23"/>
      <c r="R199" s="23">
        <f>E199+I199+P199</f>
        <v>2094.25</v>
      </c>
      <c r="S199" s="25">
        <f t="shared" ref="S199" si="83">R199*4</f>
        <v>8377</v>
      </c>
    </row>
    <row r="200" spans="1:20" s="38" customFormat="1" x14ac:dyDescent="0.25">
      <c r="A200" s="20" t="s">
        <v>275</v>
      </c>
      <c r="B200" s="21" t="s">
        <v>267</v>
      </c>
      <c r="C200" s="22">
        <v>0.25</v>
      </c>
      <c r="D200" s="22">
        <v>1</v>
      </c>
      <c r="E200" s="23">
        <v>798.75</v>
      </c>
      <c r="F200" s="22"/>
      <c r="G200" s="23">
        <f t="shared" si="82"/>
        <v>798.75</v>
      </c>
      <c r="H200" s="23"/>
      <c r="I200" s="23"/>
      <c r="J200" s="23"/>
      <c r="K200" s="23"/>
      <c r="L200" s="23"/>
      <c r="M200" s="23"/>
      <c r="N200" s="23"/>
      <c r="O200" s="23"/>
      <c r="P200" s="23">
        <f>8000*0.25-G200</f>
        <v>1201.25</v>
      </c>
      <c r="Q200" s="23"/>
      <c r="R200" s="23">
        <f>E200+P200</f>
        <v>2000</v>
      </c>
      <c r="S200" s="25">
        <f>R200*3</f>
        <v>6000</v>
      </c>
    </row>
    <row r="201" spans="1:20" s="27" customFormat="1" ht="26.4" customHeight="1" thickBot="1" x14ac:dyDescent="0.3">
      <c r="A201" s="64"/>
      <c r="B201" s="47" t="s">
        <v>59</v>
      </c>
      <c r="C201" s="34">
        <f>SUM(C198:C200)</f>
        <v>1.5</v>
      </c>
      <c r="D201" s="34"/>
      <c r="E201" s="35">
        <f>SUM(E198:E200)</f>
        <v>7556.25</v>
      </c>
      <c r="F201" s="34">
        <f>SUM(F198:F200)</f>
        <v>0</v>
      </c>
      <c r="G201" s="35">
        <f t="shared" si="82"/>
        <v>7556.25</v>
      </c>
      <c r="H201" s="35"/>
      <c r="I201" s="35">
        <f>SUM(I199:I200)</f>
        <v>94.25</v>
      </c>
      <c r="J201" s="35"/>
      <c r="K201" s="35">
        <f>SUM(K198:K200)</f>
        <v>1744.5</v>
      </c>
      <c r="L201" s="35">
        <f>SUM(L198:L200)</f>
        <v>5940.5</v>
      </c>
      <c r="M201" s="35"/>
      <c r="N201" s="35"/>
      <c r="O201" s="35"/>
      <c r="P201" s="35">
        <f>P199+P200</f>
        <v>2258.75</v>
      </c>
      <c r="Q201" s="35"/>
      <c r="R201" s="35">
        <f>SUM(R198:R200)</f>
        <v>17594.25</v>
      </c>
      <c r="S201" s="36">
        <f>SUM(S198:S200)</f>
        <v>68377</v>
      </c>
    </row>
    <row r="202" spans="1:20" ht="22.2" customHeight="1" x14ac:dyDescent="0.25">
      <c r="A202" s="15"/>
      <c r="B202" s="55" t="s">
        <v>276</v>
      </c>
      <c r="C202" s="85"/>
      <c r="D202" s="85"/>
      <c r="E202" s="94"/>
      <c r="F202" s="85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110"/>
    </row>
    <row r="203" spans="1:20" x14ac:dyDescent="0.25">
      <c r="A203" s="20" t="s">
        <v>277</v>
      </c>
      <c r="B203" s="21" t="s">
        <v>220</v>
      </c>
      <c r="C203" s="22">
        <v>1</v>
      </c>
      <c r="D203" s="22">
        <v>10</v>
      </c>
      <c r="E203" s="23">
        <v>5815</v>
      </c>
      <c r="F203" s="22"/>
      <c r="G203" s="23">
        <f t="shared" ref="G203:G206" si="84">E203+F203</f>
        <v>5815</v>
      </c>
      <c r="H203" s="23"/>
      <c r="I203" s="23"/>
      <c r="J203" s="23"/>
      <c r="K203" s="23">
        <f>G203*0.3</f>
        <v>1744.5</v>
      </c>
      <c r="L203" s="23">
        <f>13500-G203-K203</f>
        <v>5940.5</v>
      </c>
      <c r="M203" s="23"/>
      <c r="N203" s="23"/>
      <c r="O203" s="23"/>
      <c r="P203" s="23"/>
      <c r="Q203" s="23"/>
      <c r="R203" s="23">
        <f>G203+K203+L203</f>
        <v>13500</v>
      </c>
      <c r="S203" s="25">
        <f>R203*4</f>
        <v>54000</v>
      </c>
    </row>
    <row r="204" spans="1:20" x14ac:dyDescent="0.25">
      <c r="A204" s="20" t="s">
        <v>278</v>
      </c>
      <c r="B204" s="21" t="s">
        <v>134</v>
      </c>
      <c r="C204" s="22">
        <v>0.25</v>
      </c>
      <c r="D204" s="22">
        <v>3</v>
      </c>
      <c r="E204" s="23">
        <v>942.5</v>
      </c>
      <c r="F204" s="22"/>
      <c r="G204" s="23">
        <f t="shared" si="84"/>
        <v>942.5</v>
      </c>
      <c r="H204" s="23"/>
      <c r="I204" s="23">
        <f>G204*0.1</f>
        <v>94.25</v>
      </c>
      <c r="J204" s="23"/>
      <c r="K204" s="23"/>
      <c r="L204" s="23"/>
      <c r="M204" s="23"/>
      <c r="N204" s="23"/>
      <c r="O204" s="23"/>
      <c r="P204" s="23">
        <f>8000*0.25-G204</f>
        <v>1057.5</v>
      </c>
      <c r="Q204" s="23"/>
      <c r="R204" s="23">
        <f>E204+I204+P204</f>
        <v>2094.25</v>
      </c>
      <c r="S204" s="25">
        <f>R204*4</f>
        <v>8377</v>
      </c>
    </row>
    <row r="205" spans="1:20" s="38" customFormat="1" x14ac:dyDescent="0.25">
      <c r="A205" s="20" t="s">
        <v>279</v>
      </c>
      <c r="B205" s="21" t="s">
        <v>267</v>
      </c>
      <c r="C205" s="22">
        <v>0.25</v>
      </c>
      <c r="D205" s="22">
        <v>1</v>
      </c>
      <c r="E205" s="23">
        <v>798.75</v>
      </c>
      <c r="F205" s="22"/>
      <c r="G205" s="23">
        <f t="shared" si="84"/>
        <v>798.75</v>
      </c>
      <c r="H205" s="23"/>
      <c r="I205" s="23"/>
      <c r="J205" s="23"/>
      <c r="K205" s="23"/>
      <c r="L205" s="23"/>
      <c r="M205" s="23"/>
      <c r="N205" s="23"/>
      <c r="O205" s="23"/>
      <c r="P205" s="23">
        <f>8000*0.25-G205</f>
        <v>1201.25</v>
      </c>
      <c r="Q205" s="23"/>
      <c r="R205" s="23">
        <f>E205+P205</f>
        <v>2000</v>
      </c>
      <c r="S205" s="25">
        <f>R205*3</f>
        <v>6000</v>
      </c>
    </row>
    <row r="206" spans="1:20" s="27" customFormat="1" ht="28.2" customHeight="1" thickBot="1" x14ac:dyDescent="0.3">
      <c r="A206" s="64"/>
      <c r="B206" s="47" t="s">
        <v>59</v>
      </c>
      <c r="C206" s="34">
        <f>SUM(C203:C205)</f>
        <v>1.5</v>
      </c>
      <c r="D206" s="34"/>
      <c r="E206" s="35">
        <f>SUM(E203:E205)</f>
        <v>7556.25</v>
      </c>
      <c r="F206" s="34">
        <f>SUM(F203:F205)</f>
        <v>0</v>
      </c>
      <c r="G206" s="35">
        <f t="shared" si="84"/>
        <v>7556.25</v>
      </c>
      <c r="H206" s="35"/>
      <c r="I206" s="35">
        <f>SUM(I204:I205)</f>
        <v>94.25</v>
      </c>
      <c r="J206" s="35"/>
      <c r="K206" s="35">
        <f>K203</f>
        <v>1744.5</v>
      </c>
      <c r="L206" s="35">
        <f>SUM(L203:L205)</f>
        <v>5940.5</v>
      </c>
      <c r="M206" s="35"/>
      <c r="N206" s="35"/>
      <c r="O206" s="35"/>
      <c r="P206" s="35">
        <f>P204+P205</f>
        <v>2258.75</v>
      </c>
      <c r="Q206" s="35"/>
      <c r="R206" s="35">
        <f>SUM(R203:R205)</f>
        <v>17594.25</v>
      </c>
      <c r="S206" s="36">
        <f>SUM(S203:S205)</f>
        <v>68377</v>
      </c>
    </row>
    <row r="207" spans="1:20" ht="24" customHeight="1" x14ac:dyDescent="0.25">
      <c r="A207" s="15"/>
      <c r="B207" s="55" t="s">
        <v>280</v>
      </c>
      <c r="C207" s="85"/>
      <c r="D207" s="85"/>
      <c r="E207" s="94"/>
      <c r="F207" s="85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110"/>
    </row>
    <row r="208" spans="1:20" x14ac:dyDescent="0.25">
      <c r="A208" s="20" t="s">
        <v>281</v>
      </c>
      <c r="B208" s="21" t="s">
        <v>130</v>
      </c>
      <c r="C208" s="22">
        <v>0.5</v>
      </c>
      <c r="D208" s="22">
        <v>8</v>
      </c>
      <c r="E208" s="23">
        <v>2620</v>
      </c>
      <c r="F208" s="22"/>
      <c r="G208" s="23">
        <f t="shared" ref="G208:G210" si="85">E208+F208</f>
        <v>2620</v>
      </c>
      <c r="H208" s="23"/>
      <c r="I208" s="23"/>
      <c r="J208" s="23"/>
      <c r="K208" s="23">
        <f>G208*0.3</f>
        <v>786</v>
      </c>
      <c r="L208" s="23">
        <f>R208-K208-G208</f>
        <v>3344</v>
      </c>
      <c r="M208" s="23"/>
      <c r="N208" s="23"/>
      <c r="O208" s="23"/>
      <c r="P208" s="23"/>
      <c r="Q208" s="23"/>
      <c r="R208" s="23">
        <v>6750</v>
      </c>
      <c r="S208" s="25">
        <f>R208*4</f>
        <v>27000</v>
      </c>
    </row>
    <row r="209" spans="1:20" s="38" customFormat="1" x14ac:dyDescent="0.25">
      <c r="A209" s="20" t="s">
        <v>282</v>
      </c>
      <c r="B209" s="21" t="s">
        <v>134</v>
      </c>
      <c r="C209" s="22">
        <v>0.5</v>
      </c>
      <c r="D209" s="22">
        <v>3</v>
      </c>
      <c r="E209" s="23">
        <v>1885</v>
      </c>
      <c r="F209" s="22"/>
      <c r="G209" s="23">
        <f t="shared" si="85"/>
        <v>1885</v>
      </c>
      <c r="H209" s="23"/>
      <c r="I209" s="23">
        <f>G209*0.1</f>
        <v>188.5</v>
      </c>
      <c r="J209" s="23"/>
      <c r="K209" s="23"/>
      <c r="L209" s="23"/>
      <c r="M209" s="23"/>
      <c r="N209" s="23"/>
      <c r="O209" s="23"/>
      <c r="P209" s="23">
        <f>8000/2-G209</f>
        <v>2115</v>
      </c>
      <c r="Q209" s="23"/>
      <c r="R209" s="23">
        <f>SUM(G209:Q209)</f>
        <v>4188.5</v>
      </c>
      <c r="S209" s="25">
        <f>R209*4</f>
        <v>16754</v>
      </c>
    </row>
    <row r="210" spans="1:20" s="27" customFormat="1" ht="25.8" customHeight="1" thickBot="1" x14ac:dyDescent="0.3">
      <c r="A210" s="64"/>
      <c r="B210" s="47" t="s">
        <v>59</v>
      </c>
      <c r="C210" s="34">
        <f>SUM(C208:C209)</f>
        <v>1</v>
      </c>
      <c r="D210" s="34"/>
      <c r="E210" s="35">
        <f>SUM(E208:E209)</f>
        <v>4505</v>
      </c>
      <c r="F210" s="34">
        <f>SUM(F208:F209)</f>
        <v>0</v>
      </c>
      <c r="G210" s="35">
        <f t="shared" si="85"/>
        <v>4505</v>
      </c>
      <c r="H210" s="35"/>
      <c r="I210" s="35">
        <f>SUM(I209)</f>
        <v>188.5</v>
      </c>
      <c r="J210" s="35"/>
      <c r="K210" s="35">
        <f>SUM(K208:K209)</f>
        <v>786</v>
      </c>
      <c r="L210" s="35">
        <f>SUM(L208:L209)</f>
        <v>3344</v>
      </c>
      <c r="M210" s="35"/>
      <c r="N210" s="35"/>
      <c r="O210" s="35"/>
      <c r="P210" s="35">
        <f>SUM(P209)</f>
        <v>2115</v>
      </c>
      <c r="Q210" s="35"/>
      <c r="R210" s="35">
        <f>SUM(R208:R209)</f>
        <v>10938.5</v>
      </c>
      <c r="S210" s="36">
        <f>SUM(S208:S209)</f>
        <v>43754</v>
      </c>
    </row>
    <row r="211" spans="1:20" ht="22.2" customHeight="1" x14ac:dyDescent="0.25">
      <c r="A211" s="15"/>
      <c r="B211" s="55" t="s">
        <v>283</v>
      </c>
      <c r="C211" s="85"/>
      <c r="D211" s="85"/>
      <c r="E211" s="94"/>
      <c r="F211" s="85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110"/>
    </row>
    <row r="212" spans="1:20" s="13" customFormat="1" x14ac:dyDescent="0.25">
      <c r="A212" s="20" t="s">
        <v>284</v>
      </c>
      <c r="B212" s="66" t="s">
        <v>130</v>
      </c>
      <c r="C212" s="22">
        <v>0.5</v>
      </c>
      <c r="D212" s="22">
        <v>10</v>
      </c>
      <c r="E212" s="23">
        <v>2907.5</v>
      </c>
      <c r="F212" s="22"/>
      <c r="G212" s="23">
        <f t="shared" ref="G212:G215" si="86">E212+F212</f>
        <v>2907.5</v>
      </c>
      <c r="H212" s="23"/>
      <c r="I212" s="23"/>
      <c r="J212" s="23"/>
      <c r="K212" s="23">
        <f>G212*0.3</f>
        <v>872.25</v>
      </c>
      <c r="L212" s="23">
        <f>13500/2-G212-K212</f>
        <v>2970.25</v>
      </c>
      <c r="M212" s="23"/>
      <c r="N212" s="23"/>
      <c r="O212" s="23"/>
      <c r="P212" s="23"/>
      <c r="Q212" s="23"/>
      <c r="R212" s="23">
        <f>G212+K212+L212</f>
        <v>6750</v>
      </c>
      <c r="S212" s="25">
        <f>R212*4</f>
        <v>27000</v>
      </c>
    </row>
    <row r="213" spans="1:20" x14ac:dyDescent="0.25">
      <c r="A213" s="20" t="s">
        <v>285</v>
      </c>
      <c r="B213" s="21" t="s">
        <v>134</v>
      </c>
      <c r="C213" s="22">
        <v>0.5</v>
      </c>
      <c r="D213" s="22">
        <v>3</v>
      </c>
      <c r="E213" s="23">
        <v>1885</v>
      </c>
      <c r="F213" s="22"/>
      <c r="G213" s="23">
        <f t="shared" si="86"/>
        <v>1885</v>
      </c>
      <c r="H213" s="23"/>
      <c r="I213" s="23">
        <f>G213*0.1</f>
        <v>188.5</v>
      </c>
      <c r="J213" s="23"/>
      <c r="K213" s="23"/>
      <c r="L213" s="23"/>
      <c r="M213" s="23"/>
      <c r="N213" s="23"/>
      <c r="O213" s="23"/>
      <c r="P213" s="23">
        <f>8000/2-G213</f>
        <v>2115</v>
      </c>
      <c r="Q213" s="23"/>
      <c r="R213" s="23">
        <f>SUM(G213:Q213)</f>
        <v>4188.5</v>
      </c>
      <c r="S213" s="25">
        <f>R213*4</f>
        <v>16754</v>
      </c>
    </row>
    <row r="214" spans="1:20" x14ac:dyDescent="0.25">
      <c r="A214" s="20" t="s">
        <v>286</v>
      </c>
      <c r="B214" s="21" t="s">
        <v>227</v>
      </c>
      <c r="C214" s="22">
        <v>1</v>
      </c>
      <c r="D214" s="22">
        <v>1</v>
      </c>
      <c r="E214" s="23">
        <v>3195</v>
      </c>
      <c r="F214" s="22"/>
      <c r="G214" s="23">
        <f t="shared" si="86"/>
        <v>3195</v>
      </c>
      <c r="H214" s="23"/>
      <c r="I214" s="23"/>
      <c r="J214" s="23"/>
      <c r="K214" s="23"/>
      <c r="L214" s="23"/>
      <c r="M214" s="23"/>
      <c r="N214" s="23"/>
      <c r="O214" s="23"/>
      <c r="P214" s="23">
        <f>8000-G214</f>
        <v>4805</v>
      </c>
      <c r="Q214" s="23"/>
      <c r="R214" s="23">
        <f>E214+P214</f>
        <v>8000</v>
      </c>
      <c r="S214" s="25">
        <f>R214*3</f>
        <v>24000</v>
      </c>
    </row>
    <row r="215" spans="1:20" s="49" customFormat="1" ht="26.4" customHeight="1" thickBot="1" x14ac:dyDescent="0.3">
      <c r="A215" s="118"/>
      <c r="B215" s="47" t="s">
        <v>59</v>
      </c>
      <c r="C215" s="34">
        <f>SUM(C212:C214)</f>
        <v>2</v>
      </c>
      <c r="D215" s="34"/>
      <c r="E215" s="35">
        <f>SUM(E212:E214)</f>
        <v>7987.5</v>
      </c>
      <c r="F215" s="34">
        <f>SUM(F212:F214)</f>
        <v>0</v>
      </c>
      <c r="G215" s="35">
        <f t="shared" si="86"/>
        <v>7987.5</v>
      </c>
      <c r="H215" s="35"/>
      <c r="I215" s="35">
        <f>SUM(I213:I214)</f>
        <v>188.5</v>
      </c>
      <c r="J215" s="35"/>
      <c r="K215" s="35">
        <f>SUM(K212:K214)</f>
        <v>872.25</v>
      </c>
      <c r="L215" s="35">
        <f>SUM(L212:L214)</f>
        <v>2970.25</v>
      </c>
      <c r="M215" s="35"/>
      <c r="N215" s="35"/>
      <c r="O215" s="35"/>
      <c r="P215" s="35">
        <f>P213+P214</f>
        <v>6920</v>
      </c>
      <c r="Q215" s="35"/>
      <c r="R215" s="35">
        <f>SUM(R212:R214)</f>
        <v>18938.5</v>
      </c>
      <c r="S215" s="36">
        <f>SUM(S212:S214)</f>
        <v>67754</v>
      </c>
    </row>
    <row r="216" spans="1:20" ht="21" customHeight="1" x14ac:dyDescent="0.25">
      <c r="A216" s="15"/>
      <c r="B216" s="55" t="s">
        <v>287</v>
      </c>
      <c r="C216" s="85"/>
      <c r="D216" s="85"/>
      <c r="E216" s="94"/>
      <c r="F216" s="85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110"/>
    </row>
    <row r="217" spans="1:20" ht="25.2" customHeight="1" x14ac:dyDescent="0.25">
      <c r="A217" s="20" t="s">
        <v>288</v>
      </c>
      <c r="B217" s="21" t="s">
        <v>220</v>
      </c>
      <c r="C217" s="22">
        <v>1</v>
      </c>
      <c r="D217" s="22">
        <v>10</v>
      </c>
      <c r="E217" s="23">
        <v>5815</v>
      </c>
      <c r="F217" s="22"/>
      <c r="G217" s="23">
        <f t="shared" ref="G217:G221" si="87">E217+F217</f>
        <v>5815</v>
      </c>
      <c r="H217" s="23"/>
      <c r="I217" s="23"/>
      <c r="J217" s="23"/>
      <c r="K217" s="23">
        <f>G217*0.3</f>
        <v>1744.5</v>
      </c>
      <c r="L217" s="23">
        <f>R217-K217-G217</f>
        <v>5940.5</v>
      </c>
      <c r="M217" s="23"/>
      <c r="N217" s="23"/>
      <c r="O217" s="23"/>
      <c r="P217" s="23"/>
      <c r="Q217" s="23"/>
      <c r="R217" s="23">
        <v>13500</v>
      </c>
      <c r="S217" s="25">
        <f>R217*4</f>
        <v>54000</v>
      </c>
    </row>
    <row r="218" spans="1:20" ht="24" customHeight="1" x14ac:dyDescent="0.25">
      <c r="A218" s="20" t="s">
        <v>289</v>
      </c>
      <c r="B218" s="21" t="s">
        <v>130</v>
      </c>
      <c r="C218" s="22">
        <v>1</v>
      </c>
      <c r="D218" s="22">
        <v>7</v>
      </c>
      <c r="E218" s="23">
        <v>4920</v>
      </c>
      <c r="F218" s="22"/>
      <c r="G218" s="23">
        <f t="shared" si="87"/>
        <v>4920</v>
      </c>
      <c r="H218" s="23"/>
      <c r="I218" s="23">
        <f>G218*0.1</f>
        <v>492</v>
      </c>
      <c r="J218" s="23"/>
      <c r="K218" s="23">
        <f>G218*0.3</f>
        <v>1476</v>
      </c>
      <c r="L218" s="23">
        <f>13500-G218-I218-K218</f>
        <v>6612</v>
      </c>
      <c r="M218" s="23"/>
      <c r="N218" s="23"/>
      <c r="O218" s="23"/>
      <c r="P218" s="23"/>
      <c r="Q218" s="23"/>
      <c r="R218" s="23">
        <f>G218+I218+K218+L218</f>
        <v>13500</v>
      </c>
      <c r="S218" s="25">
        <f t="shared" ref="S218:S219" si="88">R218*4</f>
        <v>54000</v>
      </c>
    </row>
    <row r="219" spans="1:20" ht="25.2" customHeight="1" x14ac:dyDescent="0.25">
      <c r="A219" s="20" t="s">
        <v>290</v>
      </c>
      <c r="B219" s="21" t="s">
        <v>134</v>
      </c>
      <c r="C219" s="22">
        <v>1</v>
      </c>
      <c r="D219" s="22">
        <v>3</v>
      </c>
      <c r="E219" s="23">
        <v>3770</v>
      </c>
      <c r="F219" s="22"/>
      <c r="G219" s="23">
        <f t="shared" si="87"/>
        <v>3770</v>
      </c>
      <c r="H219" s="23"/>
      <c r="I219" s="23">
        <f>G219*0.1</f>
        <v>377</v>
      </c>
      <c r="J219" s="23"/>
      <c r="K219" s="23"/>
      <c r="L219" s="23"/>
      <c r="M219" s="23"/>
      <c r="N219" s="23"/>
      <c r="O219" s="23"/>
      <c r="P219" s="23">
        <f>8000-G219</f>
        <v>4230</v>
      </c>
      <c r="Q219" s="23"/>
      <c r="R219" s="23">
        <f>SUM(G219:Q219)</f>
        <v>8377</v>
      </c>
      <c r="S219" s="25">
        <f t="shared" si="88"/>
        <v>33508</v>
      </c>
    </row>
    <row r="220" spans="1:20" ht="31.8" customHeight="1" x14ac:dyDescent="0.25">
      <c r="A220" s="20" t="s">
        <v>291</v>
      </c>
      <c r="B220" s="21" t="s">
        <v>227</v>
      </c>
      <c r="C220" s="22">
        <v>1.5</v>
      </c>
      <c r="D220" s="22">
        <v>1</v>
      </c>
      <c r="E220" s="23">
        <f>3195*C220</f>
        <v>4792.5</v>
      </c>
      <c r="F220" s="22"/>
      <c r="G220" s="23">
        <f t="shared" si="87"/>
        <v>4792.5</v>
      </c>
      <c r="H220" s="23"/>
      <c r="I220" s="23"/>
      <c r="J220" s="23"/>
      <c r="K220" s="23"/>
      <c r="L220" s="23"/>
      <c r="M220" s="23"/>
      <c r="N220" s="23"/>
      <c r="O220" s="23"/>
      <c r="P220" s="23">
        <f>8000*C220-G220</f>
        <v>7207.5</v>
      </c>
      <c r="Q220" s="23"/>
      <c r="R220" s="23">
        <f>E220+P220</f>
        <v>12000</v>
      </c>
      <c r="S220" s="25">
        <f>R220*3</f>
        <v>36000</v>
      </c>
    </row>
    <row r="221" spans="1:20" s="27" customFormat="1" ht="26.4" customHeight="1" thickBot="1" x14ac:dyDescent="0.3">
      <c r="A221" s="64"/>
      <c r="B221" s="47" t="s">
        <v>59</v>
      </c>
      <c r="C221" s="34">
        <f>SUM(C217:C220)</f>
        <v>4.5</v>
      </c>
      <c r="D221" s="34"/>
      <c r="E221" s="35">
        <f>SUM(E217:E220)</f>
        <v>19297.5</v>
      </c>
      <c r="F221" s="34">
        <f>SUM(F217:F220)</f>
        <v>0</v>
      </c>
      <c r="G221" s="35">
        <f t="shared" si="87"/>
        <v>19297.5</v>
      </c>
      <c r="H221" s="35"/>
      <c r="I221" s="35">
        <f>SUM(I218:I220)</f>
        <v>869</v>
      </c>
      <c r="J221" s="35"/>
      <c r="K221" s="35">
        <f>K217+K218</f>
        <v>3220.5</v>
      </c>
      <c r="L221" s="35">
        <f>L217+L218</f>
        <v>12552.5</v>
      </c>
      <c r="M221" s="35"/>
      <c r="N221" s="35"/>
      <c r="O221" s="35"/>
      <c r="P221" s="35">
        <f>SUM(P217:P220)</f>
        <v>11437.5</v>
      </c>
      <c r="Q221" s="35"/>
      <c r="R221" s="35">
        <f>SUM(R217:R220)</f>
        <v>47377</v>
      </c>
      <c r="S221" s="36">
        <f>SUM(S217:S220)</f>
        <v>177508</v>
      </c>
    </row>
    <row r="222" spans="1:20" s="13" customFormat="1" ht="22.2" customHeight="1" x14ac:dyDescent="0.2">
      <c r="A222" s="18"/>
      <c r="B222" s="55" t="s">
        <v>292</v>
      </c>
      <c r="C222" s="85"/>
      <c r="D222" s="85"/>
      <c r="E222" s="94"/>
      <c r="F222" s="85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110"/>
    </row>
    <row r="223" spans="1:20" ht="24" customHeight="1" x14ac:dyDescent="0.25">
      <c r="A223" s="20" t="s">
        <v>293</v>
      </c>
      <c r="B223" s="21" t="s">
        <v>220</v>
      </c>
      <c r="C223" s="22">
        <v>1</v>
      </c>
      <c r="D223" s="22">
        <v>10</v>
      </c>
      <c r="E223" s="23">
        <v>5815</v>
      </c>
      <c r="F223" s="22"/>
      <c r="G223" s="23">
        <f t="shared" ref="G223:G225" si="89">E223+F223</f>
        <v>5815</v>
      </c>
      <c r="H223" s="23"/>
      <c r="I223" s="23"/>
      <c r="J223" s="23"/>
      <c r="K223" s="23">
        <f>G223*0.3</f>
        <v>1744.5</v>
      </c>
      <c r="L223" s="23">
        <f>R223-K223-G223</f>
        <v>5940.5</v>
      </c>
      <c r="M223" s="23"/>
      <c r="N223" s="23"/>
      <c r="O223" s="23"/>
      <c r="P223" s="23"/>
      <c r="Q223" s="23"/>
      <c r="R223" s="23">
        <v>13500</v>
      </c>
      <c r="S223" s="25">
        <f>R223*4</f>
        <v>54000</v>
      </c>
    </row>
    <row r="224" spans="1:20" s="38" customFormat="1" ht="25.8" customHeight="1" x14ac:dyDescent="0.25">
      <c r="A224" s="20" t="s">
        <v>294</v>
      </c>
      <c r="B224" s="21" t="s">
        <v>134</v>
      </c>
      <c r="C224" s="22">
        <v>0.5</v>
      </c>
      <c r="D224" s="22">
        <v>3</v>
      </c>
      <c r="E224" s="23">
        <v>1885</v>
      </c>
      <c r="F224" s="22"/>
      <c r="G224" s="23">
        <f t="shared" si="89"/>
        <v>1885</v>
      </c>
      <c r="H224" s="23"/>
      <c r="I224" s="23">
        <f>G224*0.1</f>
        <v>188.5</v>
      </c>
      <c r="J224" s="23"/>
      <c r="K224" s="23"/>
      <c r="L224" s="23"/>
      <c r="M224" s="23"/>
      <c r="N224" s="23"/>
      <c r="O224" s="23"/>
      <c r="P224" s="23">
        <f>8000/2-G224</f>
        <v>2115</v>
      </c>
      <c r="Q224" s="23"/>
      <c r="R224" s="23">
        <f>SUM(G224:Q224)</f>
        <v>4188.5</v>
      </c>
      <c r="S224" s="25">
        <f>R224*4</f>
        <v>16754</v>
      </c>
      <c r="T224" s="46"/>
    </row>
    <row r="225" spans="1:19" s="27" customFormat="1" ht="27.6" customHeight="1" thickBot="1" x14ac:dyDescent="0.3">
      <c r="A225" s="64"/>
      <c r="B225" s="47" t="s">
        <v>59</v>
      </c>
      <c r="C225" s="34">
        <f>SUM(C223:C224)</f>
        <v>1.5</v>
      </c>
      <c r="D225" s="34"/>
      <c r="E225" s="35">
        <f>SUM(E223:E224)</f>
        <v>7700</v>
      </c>
      <c r="F225" s="34">
        <f>SUM(F223:F224)</f>
        <v>0</v>
      </c>
      <c r="G225" s="35">
        <f t="shared" si="89"/>
        <v>7700</v>
      </c>
      <c r="H225" s="35"/>
      <c r="I225" s="35">
        <f>SUM(I224)</f>
        <v>188.5</v>
      </c>
      <c r="J225" s="35"/>
      <c r="K225" s="35">
        <f>SUM(K223:K224)</f>
        <v>1744.5</v>
      </c>
      <c r="L225" s="35">
        <f>SUM(L223:L224)</f>
        <v>5940.5</v>
      </c>
      <c r="M225" s="35"/>
      <c r="N225" s="35"/>
      <c r="O225" s="35"/>
      <c r="P225" s="35">
        <f>SUM(P224)</f>
        <v>2115</v>
      </c>
      <c r="Q225" s="35"/>
      <c r="R225" s="35">
        <f>SUM(R223:R224)</f>
        <v>17688.5</v>
      </c>
      <c r="S225" s="36">
        <f>SUM(S223:S224)</f>
        <v>70754</v>
      </c>
    </row>
    <row r="226" spans="1:19" ht="22.2" customHeight="1" x14ac:dyDescent="0.25">
      <c r="A226" s="15"/>
      <c r="B226" s="55" t="s">
        <v>295</v>
      </c>
      <c r="C226" s="85"/>
      <c r="D226" s="85"/>
      <c r="E226" s="94"/>
      <c r="F226" s="85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110"/>
    </row>
    <row r="227" spans="1:19" ht="31.2" customHeight="1" x14ac:dyDescent="0.25">
      <c r="A227" s="20" t="s">
        <v>296</v>
      </c>
      <c r="B227" s="21" t="s">
        <v>130</v>
      </c>
      <c r="C227" s="22">
        <v>0.5</v>
      </c>
      <c r="D227" s="22">
        <v>10</v>
      </c>
      <c r="E227" s="23">
        <v>2907.5</v>
      </c>
      <c r="F227" s="22"/>
      <c r="G227" s="23">
        <f t="shared" ref="G227:G228" si="90">E227+F227</f>
        <v>2907.5</v>
      </c>
      <c r="H227" s="23"/>
      <c r="I227" s="23"/>
      <c r="J227" s="23"/>
      <c r="K227" s="23">
        <f>G227*0.3</f>
        <v>872.25</v>
      </c>
      <c r="L227" s="23">
        <f>13500/2-G227-K227</f>
        <v>2970.25</v>
      </c>
      <c r="M227" s="23"/>
      <c r="N227" s="23"/>
      <c r="O227" s="23"/>
      <c r="P227" s="23"/>
      <c r="Q227" s="23"/>
      <c r="R227" s="23">
        <f>G227+K227+L227</f>
        <v>6750</v>
      </c>
      <c r="S227" s="25">
        <f>R227*4</f>
        <v>27000</v>
      </c>
    </row>
    <row r="228" spans="1:19" s="27" customFormat="1" ht="25.8" customHeight="1" thickBot="1" x14ac:dyDescent="0.3">
      <c r="A228" s="64"/>
      <c r="B228" s="47" t="s">
        <v>59</v>
      </c>
      <c r="C228" s="34">
        <f>SUM(C227:C227)</f>
        <v>0.5</v>
      </c>
      <c r="D228" s="34"/>
      <c r="E228" s="35">
        <f>SUM(E227:E227)</f>
        <v>2907.5</v>
      </c>
      <c r="F228" s="34">
        <f>SUM(F227:F227)</f>
        <v>0</v>
      </c>
      <c r="G228" s="35">
        <f t="shared" si="90"/>
        <v>2907.5</v>
      </c>
      <c r="H228" s="35"/>
      <c r="I228" s="35">
        <v>0</v>
      </c>
      <c r="J228" s="35"/>
      <c r="K228" s="35">
        <f>SUM(K227:K227)</f>
        <v>872.25</v>
      </c>
      <c r="L228" s="35">
        <f>SUM(L227:L227)</f>
        <v>2970.25</v>
      </c>
      <c r="M228" s="35"/>
      <c r="N228" s="35"/>
      <c r="O228" s="35"/>
      <c r="P228" s="35">
        <v>0</v>
      </c>
      <c r="Q228" s="35"/>
      <c r="R228" s="35">
        <f>SUM(R227:R227)</f>
        <v>6750</v>
      </c>
      <c r="S228" s="36">
        <f>SUM(S227:S227)</f>
        <v>27000</v>
      </c>
    </row>
    <row r="229" spans="1:19" ht="18.600000000000001" customHeight="1" x14ac:dyDescent="0.25">
      <c r="A229" s="15"/>
      <c r="B229" s="55" t="s">
        <v>298</v>
      </c>
      <c r="C229" s="85"/>
      <c r="D229" s="85"/>
      <c r="E229" s="94"/>
      <c r="F229" s="85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110"/>
    </row>
    <row r="230" spans="1:19" x14ac:dyDescent="0.25">
      <c r="A230" s="20" t="s">
        <v>299</v>
      </c>
      <c r="B230" s="21" t="s">
        <v>130</v>
      </c>
      <c r="C230" s="22">
        <v>0.5</v>
      </c>
      <c r="D230" s="22">
        <v>10</v>
      </c>
      <c r="E230" s="23">
        <v>2907.5</v>
      </c>
      <c r="F230" s="22"/>
      <c r="G230" s="23">
        <f t="shared" ref="G230:G232" si="91">E230+F230</f>
        <v>2907.5</v>
      </c>
      <c r="H230" s="23"/>
      <c r="I230" s="23"/>
      <c r="J230" s="23"/>
      <c r="K230" s="23">
        <f>G230*0.3</f>
        <v>872.25</v>
      </c>
      <c r="L230" s="23">
        <f>13500/2-G230-K230</f>
        <v>2970.25</v>
      </c>
      <c r="M230" s="23"/>
      <c r="N230" s="23"/>
      <c r="O230" s="23"/>
      <c r="P230" s="23"/>
      <c r="Q230" s="23"/>
      <c r="R230" s="23">
        <f>G230+K230+L230</f>
        <v>6750</v>
      </c>
      <c r="S230" s="25">
        <f>R230*4</f>
        <v>27000</v>
      </c>
    </row>
    <row r="231" spans="1:19" s="38" customFormat="1" x14ac:dyDescent="0.25">
      <c r="A231" s="20" t="s">
        <v>300</v>
      </c>
      <c r="B231" s="21" t="s">
        <v>134</v>
      </c>
      <c r="C231" s="22">
        <v>0.25</v>
      </c>
      <c r="D231" s="22">
        <v>3</v>
      </c>
      <c r="E231" s="23">
        <v>942.5</v>
      </c>
      <c r="F231" s="22"/>
      <c r="G231" s="23">
        <f t="shared" si="91"/>
        <v>942.5</v>
      </c>
      <c r="H231" s="23"/>
      <c r="I231" s="23">
        <f>G231*0.1</f>
        <v>94.25</v>
      </c>
      <c r="J231" s="23"/>
      <c r="K231" s="23"/>
      <c r="L231" s="23"/>
      <c r="M231" s="23"/>
      <c r="N231" s="23"/>
      <c r="O231" s="23"/>
      <c r="P231" s="23">
        <f>8000*0.25-G231</f>
        <v>1057.5</v>
      </c>
      <c r="Q231" s="23"/>
      <c r="R231" s="23">
        <f>E231+I231+P231</f>
        <v>2094.25</v>
      </c>
      <c r="S231" s="25">
        <f>R231*4</f>
        <v>8377</v>
      </c>
    </row>
    <row r="232" spans="1:19" s="27" customFormat="1" ht="27" customHeight="1" thickBot="1" x14ac:dyDescent="0.3">
      <c r="A232" s="64"/>
      <c r="B232" s="47" t="s">
        <v>59</v>
      </c>
      <c r="C232" s="34">
        <f>SUM(C230:C231)</f>
        <v>0.75</v>
      </c>
      <c r="D232" s="34"/>
      <c r="E232" s="35">
        <f>SUM(E230:E231)</f>
        <v>3850</v>
      </c>
      <c r="F232" s="34">
        <f>SUM(F230:F231)</f>
        <v>0</v>
      </c>
      <c r="G232" s="35">
        <f t="shared" si="91"/>
        <v>3850</v>
      </c>
      <c r="H232" s="35"/>
      <c r="I232" s="35">
        <f>SUM(I231)</f>
        <v>94.25</v>
      </c>
      <c r="J232" s="35"/>
      <c r="K232" s="35">
        <f>SUM(K230:K231)</f>
        <v>872.25</v>
      </c>
      <c r="L232" s="35">
        <f>SUM(L230:L231)</f>
        <v>2970.25</v>
      </c>
      <c r="M232" s="35"/>
      <c r="N232" s="35"/>
      <c r="O232" s="35"/>
      <c r="P232" s="35">
        <f>SUM(P231)</f>
        <v>1057.5</v>
      </c>
      <c r="Q232" s="35"/>
      <c r="R232" s="35">
        <f>SUM(R230:R231)</f>
        <v>8844.25</v>
      </c>
      <c r="S232" s="36">
        <f>SUM(S230:S231)</f>
        <v>35377</v>
      </c>
    </row>
    <row r="233" spans="1:19" s="49" customFormat="1" ht="23.25" customHeight="1" thickBot="1" x14ac:dyDescent="0.3">
      <c r="A233" s="67"/>
      <c r="B233" s="119" t="s">
        <v>301</v>
      </c>
      <c r="C233" s="120">
        <f>C27+C38+C46+C41+C54+C60+C81+C127+C111+C117+C140+C151+C157+C164+C171+C180+C185+C225+C221+C215+C201+C206+C228+C232+C191+C210+C196+C144+C121</f>
        <v>190.5</v>
      </c>
      <c r="D233" s="121"/>
      <c r="E233" s="120">
        <f t="shared" ref="E233:S233" si="92">E27+E38+E46+E41+E54+E60+E81+E127+E111+E117+E140+E151+E157+E164+E171+E180+E185+E221+E225+E215+E201+E206+E228+E191+E210+E196+E144+E232+E121</f>
        <v>1092022</v>
      </c>
      <c r="F233" s="120">
        <f t="shared" si="92"/>
        <v>29639.612499999999</v>
      </c>
      <c r="G233" s="120">
        <f t="shared" si="92"/>
        <v>1121661.6125000003</v>
      </c>
      <c r="H233" s="120">
        <f t="shared" si="92"/>
        <v>23683.75</v>
      </c>
      <c r="I233" s="120">
        <f t="shared" si="92"/>
        <v>26865.276249999999</v>
      </c>
      <c r="J233" s="120">
        <f t="shared" si="92"/>
        <v>491.82400000000001</v>
      </c>
      <c r="K233" s="120">
        <f t="shared" si="92"/>
        <v>222035.80874999994</v>
      </c>
      <c r="L233" s="120">
        <f t="shared" si="92"/>
        <v>886491.76749999984</v>
      </c>
      <c r="M233" s="120">
        <f t="shared" si="92"/>
        <v>3750</v>
      </c>
      <c r="N233" s="120">
        <f t="shared" si="92"/>
        <v>24538.915000000001</v>
      </c>
      <c r="O233" s="120">
        <f t="shared" si="92"/>
        <v>141900.25</v>
      </c>
      <c r="P233" s="120">
        <f t="shared" si="92"/>
        <v>245812</v>
      </c>
      <c r="Q233" s="120">
        <f t="shared" si="92"/>
        <v>0</v>
      </c>
      <c r="R233" s="120">
        <f>R27+R38+R46+R41+R54+R60+R81+R127+R111+R117+R140+R151+R157+R164+R171+R180+R185+R221+R225+R215+R201+R206+R228+R191+R210+R196+R144+R232+R121</f>
        <v>2696996.9039999996</v>
      </c>
      <c r="S233" s="120">
        <f t="shared" si="92"/>
        <v>10743987.615999999</v>
      </c>
    </row>
    <row r="234" spans="1:19" ht="12.6" thickBot="1" x14ac:dyDescent="0.3">
      <c r="F234" s="13"/>
      <c r="I234" s="68"/>
    </row>
    <row r="235" spans="1:19" ht="15.6" customHeight="1" x14ac:dyDescent="0.25">
      <c r="B235" s="69" t="s">
        <v>302</v>
      </c>
      <c r="C235" s="70">
        <f>C48+C49+C56+C57+C58+C63+C64+C65+C66+C67+C68+C123+C124+C83+C84+C85+C86+C87+C88+C89+C100+C94+C90+C95+C91+C74+C98+C96+C93+C92+C101+C99+C102+C113+C114+C133+C129+C134+C135+C146+C153+C159+C166+C173+C174+C175+C182+C141+C69+C70+C71+C72+C73+C119+C120+C97</f>
        <v>49.75</v>
      </c>
      <c r="D235" s="70"/>
      <c r="E235" s="70">
        <f>E48+E49+E56+E57+E58+E63+E64+E65+E66+E67+E68+E123+E124+E83+E84+E85+E86+E87+E88+E89+E100+E94+E90+E95+E91+E74+E98+E96+E93+E92+E101+E99+E102+E113+E114+E133+E129+E134+E135+E146+E153+E159+E166+E173+E174+E175+E182+E141+E69+E70+E71+E72+E73+E119+E120+E97</f>
        <v>348693.5</v>
      </c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>
        <f t="shared" ref="Q235" si="93">Q48+Q49+Q56+Q57+Q58+Q63+Q64+Q65+Q66+Q67+Q68+Q123+Q124+Q83+Q84+Q85+Q86+Q87+Q88+Q89+Q100+Q94+Q90+Q95+Q91+Q74+Q98+Q96+Q93+Q92+Q101+Q99+Q102+Q113+Q114+Q133+Q129+Q134+Q135+Q146+Q153+Q159+Q166+Q173+Q174+Q175+Q182+Q141+Q69+Q70+Q71+Q72+Q73+Q119+Q120</f>
        <v>0</v>
      </c>
      <c r="R235" s="70">
        <f>R48+R49+R56+R57+R58+R63+R64+R65+R66+R67+R68+R123+R124+R83+R84+R85+R86+R87+R88+R89+R100+R94+R90+R95+R91+R74+R98+R96+R93+R92+R101+R99+R102+R113+R114+R133+R129+R134+R135+R146+R153+R159+R166+R173+R174+R175+R182+R141+R69+R70+R71+R72+R73+R119+R120+R97</f>
        <v>980000</v>
      </c>
      <c r="S235" s="70">
        <f>S48+S49+S56+S57+S58+S63+S64+S65+S66+S67+S68+S123+S124+S83+S84+S85+S86+S87+S88+S89+S100+S94+S90+S95+S91+S74+S98+S96+S93+S92+S101+S99+S102+S113+S114+S133+S129+S134+S135+S146+S153+S159+S166+S173+S174+S175+S182+S141+S69+S70+S71+S72+S73+S119+S120+S97</f>
        <v>3920000</v>
      </c>
    </row>
    <row r="236" spans="1:19" ht="15.6" customHeight="1" x14ac:dyDescent="0.25">
      <c r="B236" s="71" t="s">
        <v>303</v>
      </c>
      <c r="C236" s="72">
        <f>C17+C50+C53+C75+C76+C77+C125+C103+C106+C107+C104+C105+C108+C115+C130+C136+C137+C138+C147+C154+C155+C160+C161+C167+C168+C176+C177+C183+C218+C217+C223+C212+C198+C203+C227+C188+C208+C193+C142+C230</f>
        <v>69</v>
      </c>
      <c r="D236" s="72"/>
      <c r="E236" s="123">
        <f>E17+E50+E53+E75+E76+E77+E125+E103+E106+E107+E104+E105+E108+E115+E130+E136+E137+E138+E147+E154+E155+E160+E161+E167+E168+E176+E177+E183+E218+E217+E223+E212+E198+E203+E227+E188+E208+E193+E142+E230</f>
        <v>387530</v>
      </c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>
        <f>Q17+Q50+Q53+Q75+Q76+Q77+Q125+Q103+Q106+Q107+Q104+Q105+Q108+Q115+Q130+Q136+Q137+Q138+Q147+Q154+Q155+Q160+Q161+Q167+Q168+Q176+Q177+Q183+Q218+Q217+Q223+Q212+Q198+Q203+Q227+Q188+Q208+Q193+Q142+Q230</f>
        <v>0</v>
      </c>
      <c r="R236" s="72">
        <f>R17+R50+R53+R75+R76+R77+R125+R103+R106+R107+R104+R105+R108+R115+R130+R136+R137+R138+R147+R154+R155+R160+R161+R167+R168+R176+R177+R183+R218+R217+R223+R212+R198+R203+R227+R188+R208+R193+R142+R230</f>
        <v>940097</v>
      </c>
      <c r="S236" s="89">
        <f>S17+S50+S53+S75+S76+S77+S125+S103+S106+S107+S104+S105+S108+S115+S130+S136+S137+S138+S147+S154+S155+S160+S161+S167+S168+S176+S177+S183+S218+S217+S223+S212+S198+S203+S227+S188+S208+S193+S142+S230</f>
        <v>3760388</v>
      </c>
    </row>
    <row r="237" spans="1:19" ht="15.6" customHeight="1" x14ac:dyDescent="0.25">
      <c r="B237" s="71" t="s">
        <v>304</v>
      </c>
      <c r="C237" s="72">
        <f>C78+C79+C126+C110+C116+C139+C148+C156+C162+C169+C178+C184+C219+C224+C213+C199+C204+C189+C209+C194+C231</f>
        <v>26.75</v>
      </c>
      <c r="D237" s="72"/>
      <c r="E237" s="123">
        <f>E78+E79+E126+E110+E116+E139+E148+E156+E162+E169+E178+E184+E219+E224+E213+E199+E204+E189+E209+E194+E231</f>
        <v>103295.5</v>
      </c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 t="e">
        <f>Q78+Q79+Q126+Q110+Q116+Q139+Q148+Q156+Q162+Q169+Q178+Q184+Q219+Q224+Q213+Q199+Q204+#REF!+Q189+Q209+Q194+Q231</f>
        <v>#REF!</v>
      </c>
      <c r="R237" s="123">
        <f>R78+R79+R126+R110+R116+R139+R148+R156+R162+R169+R178+R184+R219+R224+R213+R199+R204+R189+R209+R194+R231</f>
        <v>230288.83</v>
      </c>
      <c r="S237" s="124">
        <f>S78+S79+S126+S110+S116+S139+S148+S156+S162+S169+S178+S184+S219+S224+S213+S199+S204+S189+S209+S194+S231</f>
        <v>921155.32</v>
      </c>
    </row>
    <row r="238" spans="1:19" ht="15.6" customHeight="1" x14ac:dyDescent="0.25">
      <c r="B238" s="71" t="s">
        <v>305</v>
      </c>
      <c r="C238" s="72">
        <f>C14+C15+C16+C18+C19+C20+C21+C22+C23+C24+C25+C26+C29+C31+C32+C33+C35+C36+C37+C43+C44+C45+C40+C51+C52+C59+C80+C109+C149+C150+C163+C170+C179+C220+C214+C200+C205+C190+C195+C143+C34+C30</f>
        <v>45</v>
      </c>
      <c r="D238" s="72"/>
      <c r="E238" s="123">
        <f>E14+E15+E16+E18+E19+E20+E21+E22+E23+E24+E25+E26+E29+E31+E32+E33+E35+E36+E37+E43+E44+E45+E40+E51+E52+E59+E80+E109+E149+E150+E163+E170+E179+E220+E214+E200+E205+E190+E195+E143+E34+E30</f>
        <v>252503</v>
      </c>
      <c r="F238" s="72"/>
      <c r="G238" s="72"/>
      <c r="H238" s="72" t="s">
        <v>8</v>
      </c>
      <c r="I238" s="72"/>
      <c r="J238" s="72"/>
      <c r="K238" s="72"/>
      <c r="L238" s="72"/>
      <c r="M238" s="72"/>
      <c r="N238" s="72"/>
      <c r="O238" s="72"/>
      <c r="P238" s="72"/>
      <c r="Q238" s="72">
        <f>Q14+Q15+Q16+Q18+Q19+Q20+Q21+Q22+Q23+Q24+Q25+Q26+Q29+Q31+Q32+Q33+Q35+Q36+Q37+Q43+Q44+Q45+Q40+Q51+Q52+Q59+Q80+Q109+Q149+Q150+Q163+Q170+Q179+Q220+Q214+Q200+Q205+Q190+Q195+Q143+Q34</f>
        <v>0</v>
      </c>
      <c r="R238" s="123">
        <f>R14+R15+R16+R18+R19+R20+R21+R22+R23+R24+R25+R26+R29+R31+R32+R33+R35+R36+R37+R43+R44+R45+R40+R51+R52+R59+R80+R109+R149+R150+R163+R170+R179+R220+R214+R200+R205+R190+R195+R143+R34+R30</f>
        <v>546611.07400000002</v>
      </c>
      <c r="S238" s="123">
        <f>S14+S15+S16+S18+S19+S20+S21+S22+S23+S24+S25+S26+S29+S31+S32+S33+S35+S36+S37+S43+S44+S45+S40+S51+S52+S59+S80+S109+S149+S150+S163+S170+S179+S220+S214+S200+S205+S190+S195+S143+S34+S30</f>
        <v>2142444.2960000001</v>
      </c>
    </row>
    <row r="239" spans="1:19" ht="12.6" thickBot="1" x14ac:dyDescent="0.3">
      <c r="B239" s="73" t="s">
        <v>306</v>
      </c>
      <c r="C239" s="74">
        <f>SUBTOTAL(9,C235:C238)</f>
        <v>190.5</v>
      </c>
      <c r="D239" s="74"/>
      <c r="E239" s="75">
        <f>SUBTOTAL(9,E235:E238)</f>
        <v>1092022</v>
      </c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 t="e">
        <f t="shared" ref="Q239:S239" si="94">SUBTOTAL(9,Q235:Q238)</f>
        <v>#REF!</v>
      </c>
      <c r="R239" s="75">
        <f>R235+R236+R237+R238</f>
        <v>2696996.9040000001</v>
      </c>
      <c r="S239" s="76">
        <f t="shared" si="94"/>
        <v>10743987.616</v>
      </c>
    </row>
    <row r="240" spans="1:19" ht="19.95" customHeight="1" x14ac:dyDescent="0.25">
      <c r="R240" s="53"/>
    </row>
    <row r="241" spans="2:10" ht="19.2" customHeight="1" x14ac:dyDescent="0.3">
      <c r="B241" s="77" t="s">
        <v>307</v>
      </c>
      <c r="C241" s="78"/>
      <c r="D241" s="78"/>
      <c r="E241" s="79">
        <f>E239</f>
        <v>1092022</v>
      </c>
      <c r="G241" s="80"/>
      <c r="H241" s="81"/>
      <c r="I241" s="82"/>
    </row>
    <row r="242" spans="2:10" x14ac:dyDescent="0.25">
      <c r="B242" s="77" t="s">
        <v>308</v>
      </c>
      <c r="E242" s="52">
        <f>S233+E241</f>
        <v>11836009.615999999</v>
      </c>
    </row>
    <row r="244" spans="2:10" ht="15.6" x14ac:dyDescent="0.3">
      <c r="C244" s="83"/>
      <c r="D244" s="83"/>
      <c r="E244" s="83"/>
      <c r="F244" s="83"/>
      <c r="G244" s="83"/>
      <c r="H244" s="83"/>
      <c r="I244" s="83"/>
      <c r="J244" s="83"/>
    </row>
    <row r="245" spans="2:10" ht="15.6" x14ac:dyDescent="0.3">
      <c r="C245" s="83" t="s">
        <v>3</v>
      </c>
      <c r="D245" s="83"/>
      <c r="E245" s="83"/>
      <c r="F245" s="83"/>
      <c r="G245" s="83"/>
      <c r="H245" s="83" t="s">
        <v>309</v>
      </c>
      <c r="I245" s="83"/>
      <c r="J245" s="83"/>
    </row>
    <row r="246" spans="2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2:10" ht="15.6" x14ac:dyDescent="0.3">
      <c r="C247" s="83"/>
      <c r="D247" s="83"/>
      <c r="E247" s="83"/>
      <c r="F247" s="83"/>
      <c r="G247" s="83"/>
      <c r="H247" s="83"/>
      <c r="I247" s="83"/>
      <c r="J247" s="83"/>
    </row>
    <row r="248" spans="2:10" ht="15.6" x14ac:dyDescent="0.3">
      <c r="C248" s="143" t="s">
        <v>39</v>
      </c>
      <c r="D248" s="143"/>
      <c r="E248" s="143"/>
      <c r="F248" s="83"/>
      <c r="G248" s="83"/>
      <c r="H248" s="83" t="s">
        <v>311</v>
      </c>
      <c r="I248" s="83"/>
      <c r="J248" s="83"/>
    </row>
    <row r="249" spans="2:10" ht="15.6" x14ac:dyDescent="0.3">
      <c r="C249" s="83"/>
      <c r="D249" s="84"/>
      <c r="E249" s="84"/>
      <c r="F249" s="83"/>
      <c r="G249" s="83"/>
      <c r="H249" s="83"/>
      <c r="I249" s="83"/>
      <c r="J249" s="83"/>
    </row>
    <row r="250" spans="2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2:10" ht="15.6" x14ac:dyDescent="0.3">
      <c r="C251" s="83" t="s">
        <v>46</v>
      </c>
      <c r="D251" s="83"/>
      <c r="E251" s="83"/>
      <c r="F251" s="83"/>
      <c r="G251" s="83"/>
      <c r="H251" s="83" t="s">
        <v>331</v>
      </c>
      <c r="I251" s="83"/>
      <c r="J251" s="83"/>
    </row>
    <row r="252" spans="2:10" ht="15.6" x14ac:dyDescent="0.3">
      <c r="C252" s="83"/>
      <c r="D252" s="83"/>
      <c r="E252" s="83"/>
      <c r="F252" s="83"/>
      <c r="G252" s="83"/>
      <c r="H252" s="83"/>
      <c r="I252" s="83"/>
      <c r="J252" s="83"/>
    </row>
    <row r="253" spans="2:10" ht="15.6" x14ac:dyDescent="0.3">
      <c r="C253" s="83"/>
      <c r="D253" s="83"/>
      <c r="E253" s="83"/>
      <c r="F253" s="83"/>
      <c r="G253" s="83"/>
      <c r="H253" s="83"/>
      <c r="I253" s="83"/>
      <c r="J253" s="83"/>
    </row>
    <row r="254" spans="2:10" ht="15.6" x14ac:dyDescent="0.3">
      <c r="C254" s="143"/>
      <c r="D254" s="144"/>
      <c r="E254" s="144"/>
      <c r="F254" s="83"/>
      <c r="G254" s="83"/>
      <c r="H254" s="83"/>
      <c r="I254" s="83"/>
      <c r="J254" s="83"/>
    </row>
    <row r="255" spans="2:10" ht="15.6" x14ac:dyDescent="0.3">
      <c r="C255" s="83"/>
      <c r="D255" s="84"/>
      <c r="E255" s="84"/>
      <c r="F255" s="83"/>
      <c r="G255" s="83"/>
      <c r="H255" s="83"/>
      <c r="I255" s="83"/>
      <c r="J255" s="83"/>
    </row>
    <row r="256" spans="2:10" ht="15.6" x14ac:dyDescent="0.3">
      <c r="C256" s="83"/>
      <c r="D256" s="83"/>
      <c r="E256" s="83"/>
      <c r="F256" s="83"/>
      <c r="G256" s="83"/>
      <c r="H256" s="83"/>
      <c r="I256" s="83"/>
      <c r="J256" s="83"/>
    </row>
    <row r="257" spans="3:10" ht="15.6" x14ac:dyDescent="0.3">
      <c r="C257" s="83"/>
      <c r="D257" s="83"/>
      <c r="E257" s="83"/>
      <c r="F257" s="83"/>
      <c r="G257" s="83"/>
      <c r="H257" s="83"/>
      <c r="I257" s="83"/>
      <c r="J257" s="83"/>
    </row>
  </sheetData>
  <mergeCells count="29">
    <mergeCell ref="B1:S1"/>
    <mergeCell ref="M2:S2"/>
    <mergeCell ref="B3:D3"/>
    <mergeCell ref="M3:S3"/>
    <mergeCell ref="B5:D5"/>
    <mergeCell ref="M5:P5"/>
    <mergeCell ref="A11:A12"/>
    <mergeCell ref="B11:B12"/>
    <mergeCell ref="C11:C12"/>
    <mergeCell ref="D11:D12"/>
    <mergeCell ref="E11:E12"/>
    <mergeCell ref="M6:S6"/>
    <mergeCell ref="O8:P8"/>
    <mergeCell ref="S8:AH8"/>
    <mergeCell ref="B9:R9"/>
    <mergeCell ref="B10:R10"/>
    <mergeCell ref="S11:S12"/>
    <mergeCell ref="C248:E248"/>
    <mergeCell ref="F11:F12"/>
    <mergeCell ref="G11:G12"/>
    <mergeCell ref="H11:K11"/>
    <mergeCell ref="L11:L12"/>
    <mergeCell ref="M11:M12"/>
    <mergeCell ref="N11:N12"/>
    <mergeCell ref="C254:E254"/>
    <mergeCell ref="O11:O12"/>
    <mergeCell ref="P11:P12"/>
    <mergeCell ref="Q11:Q12"/>
    <mergeCell ref="R11:R12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C7489-172C-4B58-9CCF-5A47314E08AE}">
  <dimension ref="A1:AI257"/>
  <sheetViews>
    <sheetView view="pageBreakPreview" topLeftCell="A127" zoomScale="90" zoomScaleNormal="70" zoomScaleSheetLayoutView="90" workbookViewId="0">
      <selection activeCell="R19" sqref="R19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2" width="11.33203125" style="2" customWidth="1"/>
    <col min="13" max="13" width="10.21875" style="2" customWidth="1"/>
    <col min="14" max="14" width="9.88671875" style="2" customWidth="1"/>
    <col min="15" max="15" width="12.5546875" style="2" customWidth="1"/>
    <col min="16" max="16" width="10.88671875" style="2" customWidth="1"/>
    <col min="17" max="17" width="0.21875" style="2" customWidth="1"/>
    <col min="18" max="18" width="11.5546875" style="2" customWidth="1"/>
    <col min="19" max="19" width="11.886718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4"/>
      <c r="S1" s="16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63"/>
      <c r="N2" s="164"/>
      <c r="O2" s="164"/>
      <c r="P2" s="164"/>
      <c r="Q2" s="164"/>
      <c r="R2" s="164"/>
      <c r="S2" s="164"/>
    </row>
    <row r="3" spans="1:35" ht="40.799999999999997" customHeight="1" x14ac:dyDescent="0.35">
      <c r="B3" s="165" t="s">
        <v>0</v>
      </c>
      <c r="C3" s="166"/>
      <c r="D3" s="166"/>
      <c r="E3" s="4"/>
      <c r="F3" s="4"/>
      <c r="G3" s="4"/>
      <c r="H3" s="4"/>
      <c r="I3" s="4"/>
      <c r="J3" s="4"/>
      <c r="K3" s="4"/>
      <c r="L3" s="4"/>
      <c r="M3" s="167" t="s">
        <v>1</v>
      </c>
      <c r="N3" s="168"/>
      <c r="O3" s="168"/>
      <c r="P3" s="168"/>
      <c r="Q3" s="168"/>
      <c r="R3" s="168"/>
      <c r="S3" s="168"/>
    </row>
    <row r="4" spans="1:35" ht="11.4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/>
      <c r="N4"/>
      <c r="O4"/>
      <c r="P4"/>
      <c r="Q4"/>
      <c r="R4"/>
      <c r="S4"/>
    </row>
    <row r="5" spans="1:35" ht="17.399999999999999" x14ac:dyDescent="0.3">
      <c r="B5" s="169" t="s">
        <v>2</v>
      </c>
      <c r="C5" s="169"/>
      <c r="D5" s="169"/>
      <c r="G5" s="8"/>
      <c r="H5" s="8"/>
      <c r="I5" s="8"/>
      <c r="J5" s="8"/>
      <c r="K5" s="8"/>
      <c r="L5" s="8"/>
      <c r="M5" s="143" t="s">
        <v>3</v>
      </c>
      <c r="N5" s="144"/>
      <c r="O5" s="144"/>
      <c r="P5" s="144"/>
      <c r="Q5" s="9"/>
      <c r="R5" s="9"/>
      <c r="S5" s="3"/>
    </row>
    <row r="6" spans="1:35" ht="29.4" customHeight="1" x14ac:dyDescent="0.3">
      <c r="B6" s="10"/>
      <c r="G6" s="11"/>
      <c r="H6" s="12"/>
      <c r="M6" s="155" t="s">
        <v>4</v>
      </c>
      <c r="N6" s="144"/>
      <c r="O6" s="144"/>
      <c r="P6" s="144"/>
      <c r="Q6" s="144"/>
      <c r="R6" s="144"/>
      <c r="S6" s="144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6" t="s">
        <v>341</v>
      </c>
      <c r="P8" s="157"/>
      <c r="Q8" s="13"/>
      <c r="R8" s="13"/>
      <c r="S8" s="158" t="s">
        <v>6</v>
      </c>
      <c r="T8" s="158"/>
      <c r="U8" s="158"/>
      <c r="V8" s="158"/>
      <c r="W8" s="158"/>
      <c r="X8" s="158"/>
      <c r="Y8" s="158"/>
      <c r="Z8" s="158"/>
      <c r="AA8" s="158"/>
      <c r="AB8" s="158"/>
      <c r="AC8" s="158"/>
      <c r="AD8" s="158"/>
      <c r="AE8" s="158"/>
      <c r="AF8" s="158"/>
      <c r="AG8" s="158"/>
      <c r="AH8" s="158"/>
      <c r="AI8" s="14"/>
    </row>
    <row r="9" spans="1:35" ht="23.4" customHeight="1" x14ac:dyDescent="0.3">
      <c r="B9" s="159" t="s">
        <v>7</v>
      </c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4" t="s">
        <v>8</v>
      </c>
    </row>
    <row r="10" spans="1:35" ht="27.6" customHeight="1" thickBot="1" x14ac:dyDescent="0.35">
      <c r="B10" s="160" t="s">
        <v>342</v>
      </c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</row>
    <row r="11" spans="1:35" ht="37.950000000000003" customHeight="1" x14ac:dyDescent="0.25">
      <c r="A11" s="161"/>
      <c r="B11" s="149" t="s">
        <v>10</v>
      </c>
      <c r="C11" s="151" t="s">
        <v>11</v>
      </c>
      <c r="D11" s="151" t="s">
        <v>12</v>
      </c>
      <c r="E11" s="151" t="s">
        <v>13</v>
      </c>
      <c r="F11" s="151" t="s">
        <v>14</v>
      </c>
      <c r="G11" s="151" t="s">
        <v>15</v>
      </c>
      <c r="H11" s="151" t="s">
        <v>16</v>
      </c>
      <c r="I11" s="151"/>
      <c r="J11" s="151"/>
      <c r="K11" s="151"/>
      <c r="L11" s="147" t="s">
        <v>17</v>
      </c>
      <c r="M11" s="147" t="s">
        <v>18</v>
      </c>
      <c r="N11" s="147" t="s">
        <v>19</v>
      </c>
      <c r="O11" s="145" t="s">
        <v>20</v>
      </c>
      <c r="P11" s="147" t="s">
        <v>21</v>
      </c>
      <c r="Q11" s="149"/>
      <c r="R11" s="151" t="s">
        <v>22</v>
      </c>
      <c r="S11" s="153" t="s">
        <v>343</v>
      </c>
    </row>
    <row r="12" spans="1:35" ht="64.95" customHeight="1" thickBot="1" x14ac:dyDescent="0.3">
      <c r="A12" s="162"/>
      <c r="B12" s="150"/>
      <c r="C12" s="152"/>
      <c r="D12" s="152"/>
      <c r="E12" s="152"/>
      <c r="F12" s="152"/>
      <c r="G12" s="152"/>
      <c r="H12" s="16" t="s">
        <v>24</v>
      </c>
      <c r="I12" s="17" t="s">
        <v>25</v>
      </c>
      <c r="J12" s="17" t="s">
        <v>26</v>
      </c>
      <c r="K12" s="16" t="s">
        <v>27</v>
      </c>
      <c r="L12" s="148"/>
      <c r="M12" s="148"/>
      <c r="N12" s="148"/>
      <c r="O12" s="146"/>
      <c r="P12" s="148"/>
      <c r="Q12" s="150"/>
      <c r="R12" s="152"/>
      <c r="S12" s="154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R14*3</f>
        <v>161250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R15*3</f>
        <v>67500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67500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6315</v>
      </c>
      <c r="F17" s="23"/>
      <c r="G17" s="23">
        <f>E17</f>
        <v>6315</v>
      </c>
      <c r="H17" s="23">
        <f>G17*0.5</f>
        <v>3157.5</v>
      </c>
      <c r="I17" s="23" t="s">
        <v>37</v>
      </c>
      <c r="J17" s="24"/>
      <c r="K17" s="22">
        <f>G17*0.3</f>
        <v>1894.5</v>
      </c>
      <c r="L17" s="23"/>
      <c r="M17" s="24"/>
      <c r="N17" s="23"/>
      <c r="O17" s="26">
        <f>G17*200%</f>
        <v>12630</v>
      </c>
      <c r="P17" s="24"/>
      <c r="Q17" s="22"/>
      <c r="R17" s="23">
        <f>N17+K17+H17+E17+L17+O17</f>
        <v>23997</v>
      </c>
      <c r="S17" s="25">
        <f t="shared" si="0"/>
        <v>71991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6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120000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5691*C19</f>
        <v>11382</v>
      </c>
      <c r="F19" s="23"/>
      <c r="G19" s="23">
        <f t="shared" si="1"/>
        <v>11382</v>
      </c>
      <c r="H19" s="23">
        <f t="shared" ref="H19:H26" si="2">G19*0.5</f>
        <v>5691</v>
      </c>
      <c r="I19" s="23"/>
      <c r="J19" s="23"/>
      <c r="K19" s="23"/>
      <c r="L19" s="23" t="s">
        <v>44</v>
      </c>
      <c r="M19" s="23"/>
      <c r="N19" s="23"/>
      <c r="O19" s="23">
        <f>11382*C19</f>
        <v>22764</v>
      </c>
      <c r="P19" s="23" t="s">
        <v>8</v>
      </c>
      <c r="Q19" s="23"/>
      <c r="R19" s="23">
        <f>G19+H19+O19</f>
        <v>39837</v>
      </c>
      <c r="S19" s="25">
        <f t="shared" si="0"/>
        <v>119511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8</v>
      </c>
      <c r="E20" s="23">
        <v>5240</v>
      </c>
      <c r="F20" s="23"/>
      <c r="G20" s="23">
        <f t="shared" si="1"/>
        <v>5240</v>
      </c>
      <c r="H20" s="23">
        <f t="shared" si="2"/>
        <v>2620</v>
      </c>
      <c r="I20" s="23"/>
      <c r="J20" s="23"/>
      <c r="K20" s="23"/>
      <c r="L20" s="23" t="s">
        <v>44</v>
      </c>
      <c r="M20" s="23"/>
      <c r="N20" s="23"/>
      <c r="O20" s="23">
        <v>10480</v>
      </c>
      <c r="P20" s="23" t="s">
        <v>8</v>
      </c>
      <c r="Q20" s="23"/>
      <c r="R20" s="23">
        <f>G20+H20+O20</f>
        <v>18340</v>
      </c>
      <c r="S20" s="25">
        <f t="shared" si="0"/>
        <v>55020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5240</v>
      </c>
      <c r="F21" s="22"/>
      <c r="G21" s="23">
        <f t="shared" si="1"/>
        <v>5240</v>
      </c>
      <c r="H21" s="23">
        <f t="shared" si="2"/>
        <v>2620</v>
      </c>
      <c r="I21" s="24"/>
      <c r="J21" s="24"/>
      <c r="K21" s="22"/>
      <c r="L21" s="24"/>
      <c r="M21" s="24"/>
      <c r="N21" s="23"/>
      <c r="O21" s="23">
        <f>G21*200%</f>
        <v>10480</v>
      </c>
      <c r="P21" s="24"/>
      <c r="Q21" s="22"/>
      <c r="R21" s="23">
        <f t="shared" ref="R21:R25" si="3">G21+H21+O21</f>
        <v>18340</v>
      </c>
      <c r="S21" s="25">
        <f t="shared" si="0"/>
        <v>55020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4633</v>
      </c>
      <c r="F22" s="22"/>
      <c r="G22" s="23">
        <f t="shared" si="1"/>
        <v>4633</v>
      </c>
      <c r="H22" s="22">
        <f t="shared" si="2"/>
        <v>2316.5</v>
      </c>
      <c r="I22" s="24"/>
      <c r="J22" s="24"/>
      <c r="K22" s="22"/>
      <c r="L22" s="24"/>
      <c r="M22" s="24"/>
      <c r="N22" s="23"/>
      <c r="O22" s="23">
        <f>G22*200%</f>
        <v>9266</v>
      </c>
      <c r="P22" s="24"/>
      <c r="Q22" s="22"/>
      <c r="R22" s="23">
        <f t="shared" si="3"/>
        <v>16215.5</v>
      </c>
      <c r="S22" s="25">
        <f t="shared" si="0"/>
        <v>48646.5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E22/2</f>
        <v>2316.5</v>
      </c>
      <c r="F23" s="22"/>
      <c r="G23" s="23">
        <f t="shared" si="1"/>
        <v>2316.5</v>
      </c>
      <c r="H23" s="22">
        <f t="shared" si="2"/>
        <v>1158.25</v>
      </c>
      <c r="I23" s="24"/>
      <c r="J23" s="24"/>
      <c r="K23" s="22"/>
      <c r="L23" s="24"/>
      <c r="M23" s="24"/>
      <c r="N23" s="23"/>
      <c r="O23" s="23">
        <f>G23*150%</f>
        <v>3474.75</v>
      </c>
      <c r="P23" s="24"/>
      <c r="Q23" s="22"/>
      <c r="R23" s="23">
        <f t="shared" si="3"/>
        <v>6949.5</v>
      </c>
      <c r="S23" s="25">
        <f t="shared" si="0"/>
        <v>20848.5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4058</v>
      </c>
      <c r="F24" s="22"/>
      <c r="G24" s="23">
        <f t="shared" si="1"/>
        <v>4058</v>
      </c>
      <c r="H24" s="22">
        <f t="shared" si="2"/>
        <v>2029</v>
      </c>
      <c r="I24" s="24"/>
      <c r="J24" s="24"/>
      <c r="K24" s="22"/>
      <c r="L24" s="24"/>
      <c r="M24" s="24"/>
      <c r="N24" s="23"/>
      <c r="O24" s="23">
        <f>G24*200%</f>
        <v>8116</v>
      </c>
      <c r="P24" s="24"/>
      <c r="Q24" s="22"/>
      <c r="R24" s="23">
        <f t="shared" si="3"/>
        <v>14203</v>
      </c>
      <c r="S24" s="25">
        <f t="shared" si="0"/>
        <v>42609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5527</v>
      </c>
      <c r="F25" s="23"/>
      <c r="G25" s="23">
        <f t="shared" si="1"/>
        <v>5527</v>
      </c>
      <c r="H25" s="23">
        <f t="shared" si="2"/>
        <v>2763.5</v>
      </c>
      <c r="I25" s="23"/>
      <c r="J25" s="23"/>
      <c r="K25" s="23"/>
      <c r="L25" s="23"/>
      <c r="M25" s="23"/>
      <c r="N25" s="23"/>
      <c r="O25" s="23">
        <f>G25*150%</f>
        <v>8290.5</v>
      </c>
      <c r="P25" s="23"/>
      <c r="Q25" s="23"/>
      <c r="R25" s="23">
        <f t="shared" si="3"/>
        <v>16581</v>
      </c>
      <c r="S25" s="25">
        <f t="shared" si="0"/>
        <v>49743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4058*C26</f>
        <v>4058</v>
      </c>
      <c r="F26" s="22"/>
      <c r="G26" s="23">
        <f t="shared" si="1"/>
        <v>4058</v>
      </c>
      <c r="H26" s="22">
        <f t="shared" si="2"/>
        <v>2029</v>
      </c>
      <c r="I26" s="24"/>
      <c r="J26" s="24"/>
      <c r="K26" s="22"/>
      <c r="L26" s="24"/>
      <c r="M26" s="24"/>
      <c r="N26" s="23"/>
      <c r="O26" s="23">
        <f>G26*150%</f>
        <v>6087</v>
      </c>
      <c r="P26" s="24"/>
      <c r="Q26" s="22"/>
      <c r="R26" s="23">
        <f>G26+H26+O26</f>
        <v>12174</v>
      </c>
      <c r="S26" s="25">
        <f t="shared" si="0"/>
        <v>36522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138769.5</v>
      </c>
      <c r="F27" s="34"/>
      <c r="G27" s="35">
        <f>SUM(G14:G26)</f>
        <v>138769.5</v>
      </c>
      <c r="H27" s="34">
        <f>SUM(H14:H26)</f>
        <v>24384.75</v>
      </c>
      <c r="I27" s="90"/>
      <c r="J27" s="90"/>
      <c r="K27" s="34">
        <f>SUM(K14:K26)</f>
        <v>1894.5</v>
      </c>
      <c r="L27" s="90"/>
      <c r="M27" s="34">
        <f>SUM(M14:M26)</f>
        <v>3750</v>
      </c>
      <c r="N27" s="35"/>
      <c r="O27" s="35">
        <f>SUM(O14:O26)</f>
        <v>136588.25</v>
      </c>
      <c r="P27" s="90"/>
      <c r="Q27" s="34"/>
      <c r="R27" s="35">
        <f>SUM(R14:R26)</f>
        <v>305387</v>
      </c>
      <c r="S27" s="36">
        <f>SUM(S14:S26)</f>
        <v>916161</v>
      </c>
    </row>
    <row r="28" spans="1:19" s="13" customFormat="1" ht="25.2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93"/>
    </row>
    <row r="29" spans="1:19" x14ac:dyDescent="0.25">
      <c r="A29" s="20" t="s">
        <v>61</v>
      </c>
      <c r="B29" s="21" t="s">
        <v>62</v>
      </c>
      <c r="C29" s="22">
        <v>0.5</v>
      </c>
      <c r="D29" s="22">
        <v>7</v>
      </c>
      <c r="E29" s="23">
        <f>4920*C29</f>
        <v>2460</v>
      </c>
      <c r="F29" s="22"/>
      <c r="G29" s="23">
        <f t="shared" ref="G29:G32" si="4">E29+F29</f>
        <v>2460</v>
      </c>
      <c r="H29" s="23"/>
      <c r="I29" s="23"/>
      <c r="J29" s="23"/>
      <c r="K29" s="23"/>
      <c r="L29" s="23"/>
      <c r="M29" s="23"/>
      <c r="N29" s="23"/>
      <c r="O29" s="23"/>
      <c r="P29" s="23">
        <f>8000*C29-G29</f>
        <v>1540</v>
      </c>
      <c r="Q29" s="23"/>
      <c r="R29" s="23">
        <f>G29+H29+I29+ J29+K29+L29+N29+O29+P29</f>
        <v>4000</v>
      </c>
      <c r="S29" s="25">
        <f>R29*3</f>
        <v>12000</v>
      </c>
    </row>
    <row r="30" spans="1:19" x14ac:dyDescent="0.25">
      <c r="A30" s="20" t="s">
        <v>61</v>
      </c>
      <c r="B30" s="21" t="s">
        <v>328</v>
      </c>
      <c r="C30" s="22">
        <v>0.5</v>
      </c>
      <c r="D30" s="22">
        <v>6</v>
      </c>
      <c r="E30" s="23">
        <f>4633*C30</f>
        <v>2316.5</v>
      </c>
      <c r="F30" s="22"/>
      <c r="G30" s="23">
        <f t="shared" si="4"/>
        <v>2316.5</v>
      </c>
      <c r="H30" s="23"/>
      <c r="I30" s="23"/>
      <c r="J30" s="23"/>
      <c r="K30" s="23"/>
      <c r="L30" s="23"/>
      <c r="M30" s="23"/>
      <c r="N30" s="23"/>
      <c r="O30" s="23"/>
      <c r="P30" s="23">
        <f>8000*C30-G30</f>
        <v>1683.5</v>
      </c>
      <c r="Q30" s="23"/>
      <c r="R30" s="23">
        <f>G30+H30+I30+ J30+K30+L30+N30+O30+P30</f>
        <v>4000</v>
      </c>
      <c r="S30" s="25">
        <f t="shared" ref="S30:S37" si="5">R30*3</f>
        <v>12000</v>
      </c>
    </row>
    <row r="31" spans="1:19" x14ac:dyDescent="0.25">
      <c r="A31" s="20" t="s">
        <v>63</v>
      </c>
      <c r="B31" s="21" t="s">
        <v>64</v>
      </c>
      <c r="C31" s="22">
        <v>0.5</v>
      </c>
      <c r="D31" s="22">
        <v>1</v>
      </c>
      <c r="E31" s="23">
        <f>3195*C31</f>
        <v>1597.5</v>
      </c>
      <c r="F31" s="22"/>
      <c r="G31" s="23">
        <f t="shared" si="4"/>
        <v>1597.5</v>
      </c>
      <c r="H31" s="23"/>
      <c r="I31" s="23"/>
      <c r="J31" s="23"/>
      <c r="K31" s="23"/>
      <c r="L31" s="23"/>
      <c r="M31" s="23"/>
      <c r="N31" s="23"/>
      <c r="O31" s="23"/>
      <c r="P31" s="23">
        <f>8000-G31</f>
        <v>6402.5</v>
      </c>
      <c r="Q31" s="23"/>
      <c r="R31" s="23">
        <f t="shared" ref="R31:R32" si="6">G31+H31+I31+ J31+K31+L31+N31+O31+P31</f>
        <v>8000</v>
      </c>
      <c r="S31" s="25">
        <f t="shared" si="5"/>
        <v>24000</v>
      </c>
    </row>
    <row r="32" spans="1:19" x14ac:dyDescent="0.25">
      <c r="A32" s="20" t="s">
        <v>65</v>
      </c>
      <c r="B32" s="21" t="s">
        <v>66</v>
      </c>
      <c r="C32" s="22">
        <v>1.5</v>
      </c>
      <c r="D32" s="22">
        <v>1</v>
      </c>
      <c r="E32" s="23">
        <f>3195*C32</f>
        <v>4792.5</v>
      </c>
      <c r="F32" s="22"/>
      <c r="G32" s="23">
        <f t="shared" si="4"/>
        <v>4792.5</v>
      </c>
      <c r="H32" s="23"/>
      <c r="I32" s="23"/>
      <c r="J32" s="23"/>
      <c r="K32" s="23"/>
      <c r="L32" s="23"/>
      <c r="M32" s="23"/>
      <c r="N32" s="23"/>
      <c r="O32" s="23"/>
      <c r="P32" s="23">
        <f t="shared" ref="P32" si="7">8000-G32</f>
        <v>3207.5</v>
      </c>
      <c r="Q32" s="23"/>
      <c r="R32" s="23">
        <f t="shared" si="6"/>
        <v>8000</v>
      </c>
      <c r="S32" s="25">
        <f t="shared" si="5"/>
        <v>24000</v>
      </c>
    </row>
    <row r="33" spans="1:19" x14ac:dyDescent="0.25">
      <c r="A33" s="20" t="s">
        <v>67</v>
      </c>
      <c r="B33" s="21" t="s">
        <v>68</v>
      </c>
      <c r="C33" s="22">
        <v>1.5</v>
      </c>
      <c r="D33" s="22">
        <v>3</v>
      </c>
      <c r="E33" s="23">
        <f>3770*C33</f>
        <v>5655</v>
      </c>
      <c r="F33" s="22"/>
      <c r="G33" s="23">
        <f t="shared" si="1"/>
        <v>5655</v>
      </c>
      <c r="H33" s="23"/>
      <c r="I33" s="23"/>
      <c r="J33" s="23"/>
      <c r="K33" s="23"/>
      <c r="L33" s="23"/>
      <c r="M33" s="23"/>
      <c r="N33" s="23"/>
      <c r="O33" s="23"/>
      <c r="P33" s="23">
        <f>8000*C33-G33</f>
        <v>6345</v>
      </c>
      <c r="Q33" s="23"/>
      <c r="R33" s="23">
        <f>G33+H33+I33+ J33+K33+L33+N33+O33+P33</f>
        <v>12000</v>
      </c>
      <c r="S33" s="25">
        <f t="shared" si="5"/>
        <v>36000</v>
      </c>
    </row>
    <row r="34" spans="1:19" ht="24" x14ac:dyDescent="0.25">
      <c r="A34" s="20" t="s">
        <v>67</v>
      </c>
      <c r="B34" s="21" t="s">
        <v>315</v>
      </c>
      <c r="C34" s="22">
        <v>0.5</v>
      </c>
      <c r="D34" s="22">
        <v>3</v>
      </c>
      <c r="E34" s="23">
        <f>3770*C34</f>
        <v>1885</v>
      </c>
      <c r="F34" s="22"/>
      <c r="G34" s="23">
        <f t="shared" si="1"/>
        <v>1885</v>
      </c>
      <c r="H34" s="23"/>
      <c r="I34" s="23"/>
      <c r="J34" s="23"/>
      <c r="K34" s="23"/>
      <c r="L34" s="23"/>
      <c r="M34" s="23"/>
      <c r="N34" s="23"/>
      <c r="O34" s="23"/>
      <c r="P34" s="23">
        <f>8000*C34-G34</f>
        <v>2115</v>
      </c>
      <c r="Q34" s="23"/>
      <c r="R34" s="23">
        <f>G34+H34+I34+ J34+K34+L34+N34+O34+P34</f>
        <v>4000</v>
      </c>
      <c r="S34" s="25">
        <f t="shared" si="5"/>
        <v>12000</v>
      </c>
    </row>
    <row r="35" spans="1:19" ht="12.6" customHeight="1" x14ac:dyDescent="0.25">
      <c r="A35" s="20" t="s">
        <v>69</v>
      </c>
      <c r="B35" s="21" t="s">
        <v>70</v>
      </c>
      <c r="C35" s="22">
        <v>1</v>
      </c>
      <c r="D35" s="22">
        <v>2</v>
      </c>
      <c r="E35" s="23">
        <v>3483</v>
      </c>
      <c r="F35" s="22">
        <f>E35*0.2</f>
        <v>696.6</v>
      </c>
      <c r="G35" s="23">
        <f t="shared" si="1"/>
        <v>4179.6000000000004</v>
      </c>
      <c r="H35" s="23"/>
      <c r="I35" s="23"/>
      <c r="J35" s="23">
        <f>G35*4%</f>
        <v>167.18400000000003</v>
      </c>
      <c r="K35" s="23"/>
      <c r="L35" s="23"/>
      <c r="M35" s="23"/>
      <c r="N35" s="23"/>
      <c r="O35" s="23"/>
      <c r="P35" s="23">
        <f>8000-E35</f>
        <v>4517</v>
      </c>
      <c r="Q35" s="23"/>
      <c r="R35" s="23">
        <f>G35+J35+P35</f>
        <v>8863.7839999999997</v>
      </c>
      <c r="S35" s="25">
        <f t="shared" si="5"/>
        <v>26591.351999999999</v>
      </c>
    </row>
    <row r="36" spans="1:19" ht="18" customHeight="1" x14ac:dyDescent="0.25">
      <c r="A36" s="20" t="s">
        <v>71</v>
      </c>
      <c r="B36" s="21" t="s">
        <v>72</v>
      </c>
      <c r="C36" s="22">
        <v>1</v>
      </c>
      <c r="D36" s="22">
        <v>1</v>
      </c>
      <c r="E36" s="23">
        <v>3195</v>
      </c>
      <c r="F36" s="22"/>
      <c r="G36" s="23">
        <f t="shared" si="1"/>
        <v>3195</v>
      </c>
      <c r="H36" s="23"/>
      <c r="I36" s="23"/>
      <c r="J36" s="23"/>
      <c r="K36" s="23"/>
      <c r="L36" s="23"/>
      <c r="M36" s="23"/>
      <c r="N36" s="23"/>
      <c r="O36" s="23"/>
      <c r="P36" s="23">
        <f>8000-G36</f>
        <v>4805</v>
      </c>
      <c r="Q36" s="23"/>
      <c r="R36" s="23">
        <f t="shared" ref="R36" si="8">G36+H36+I36+ J36+K36+L36+N36+O36+P36</f>
        <v>8000</v>
      </c>
      <c r="S36" s="25">
        <f t="shared" si="5"/>
        <v>24000</v>
      </c>
    </row>
    <row r="37" spans="1:19" x14ac:dyDescent="0.25">
      <c r="A37" s="20" t="s">
        <v>73</v>
      </c>
      <c r="B37" s="21" t="s">
        <v>74</v>
      </c>
      <c r="C37" s="22">
        <v>1</v>
      </c>
      <c r="D37" s="22">
        <v>5</v>
      </c>
      <c r="E37" s="23">
        <v>4345</v>
      </c>
      <c r="F37" s="23"/>
      <c r="G37" s="23">
        <f>E37+F37</f>
        <v>4345</v>
      </c>
      <c r="H37" s="23"/>
      <c r="I37" s="23"/>
      <c r="J37" s="23"/>
      <c r="K37" s="23"/>
      <c r="L37" s="23"/>
      <c r="M37" s="23"/>
      <c r="N37" s="23"/>
      <c r="O37" s="23"/>
      <c r="P37" s="23">
        <f>8000-G37</f>
        <v>3655</v>
      </c>
      <c r="Q37" s="32"/>
      <c r="R37" s="23">
        <f>G37+P37</f>
        <v>8000</v>
      </c>
      <c r="S37" s="25">
        <f t="shared" si="5"/>
        <v>24000</v>
      </c>
    </row>
    <row r="38" spans="1:19" s="27" customFormat="1" ht="20.399999999999999" customHeight="1" thickBot="1" x14ac:dyDescent="0.3">
      <c r="A38" s="64"/>
      <c r="B38" s="47" t="s">
        <v>59</v>
      </c>
      <c r="C38" s="34">
        <f>SUM(C29:C37)</f>
        <v>8</v>
      </c>
      <c r="D38" s="34"/>
      <c r="E38" s="35">
        <f>SUM(E29:E37)</f>
        <v>29729.5</v>
      </c>
      <c r="F38" s="34">
        <f>SUM(F29:F37)</f>
        <v>696.6</v>
      </c>
      <c r="G38" s="35">
        <f>E38+F38</f>
        <v>30426.1</v>
      </c>
      <c r="H38" s="35"/>
      <c r="I38" s="35">
        <f>SUM(I29:I36)</f>
        <v>0</v>
      </c>
      <c r="J38" s="35">
        <f>SUM(J29:J36)</f>
        <v>167.18400000000003</v>
      </c>
      <c r="K38" s="35"/>
      <c r="L38" s="35"/>
      <c r="M38" s="35"/>
      <c r="N38" s="35"/>
      <c r="O38" s="35"/>
      <c r="P38" s="35">
        <f>SUM(P29:P37)</f>
        <v>34270.5</v>
      </c>
      <c r="Q38" s="35"/>
      <c r="R38" s="35">
        <f>SUM(R29:R37)</f>
        <v>64863.784</v>
      </c>
      <c r="S38" s="36">
        <f>SUM(S29:S37)</f>
        <v>194591.35200000001</v>
      </c>
    </row>
    <row r="39" spans="1:19" ht="15.6" customHeight="1" x14ac:dyDescent="0.25">
      <c r="A39" s="18"/>
      <c r="B39" s="86" t="s">
        <v>75</v>
      </c>
      <c r="C39" s="85"/>
      <c r="D39" s="85"/>
      <c r="E39" s="85"/>
      <c r="F39" s="85"/>
      <c r="G39" s="94"/>
      <c r="H39" s="85" t="s">
        <v>76</v>
      </c>
      <c r="I39" s="95"/>
      <c r="J39" s="95"/>
      <c r="K39" s="85"/>
      <c r="L39" s="95"/>
      <c r="M39" s="95"/>
      <c r="N39" s="95"/>
      <c r="O39" s="95"/>
      <c r="P39" s="95"/>
      <c r="Q39" s="85"/>
      <c r="R39" s="85"/>
      <c r="S39" s="96"/>
    </row>
    <row r="40" spans="1:19" s="13" customFormat="1" x14ac:dyDescent="0.2">
      <c r="A40" s="28" t="s">
        <v>77</v>
      </c>
      <c r="B40" s="21" t="s">
        <v>78</v>
      </c>
      <c r="C40" s="22">
        <v>2.5</v>
      </c>
      <c r="D40" s="22">
        <v>2</v>
      </c>
      <c r="E40" s="23">
        <f>3483*C40</f>
        <v>8707.5</v>
      </c>
      <c r="F40" s="22"/>
      <c r="G40" s="23">
        <f t="shared" ref="G40:G41" si="9">E40+F40</f>
        <v>8707.5</v>
      </c>
      <c r="H40" s="23"/>
      <c r="I40" s="23"/>
      <c r="J40" s="23"/>
      <c r="K40" s="23"/>
      <c r="L40" s="23"/>
      <c r="M40" s="23"/>
      <c r="N40" s="23"/>
      <c r="O40" s="23"/>
      <c r="P40" s="23">
        <f>8000*C40-G40</f>
        <v>11292.5</v>
      </c>
      <c r="Q40" s="23"/>
      <c r="R40" s="23">
        <f t="shared" ref="R40" si="10">G40+H40+I40+ J40+K40+L40+N40+O40+P40</f>
        <v>20000</v>
      </c>
      <c r="S40" s="25">
        <f>R40*3</f>
        <v>60000</v>
      </c>
    </row>
    <row r="41" spans="1:19" s="37" customFormat="1" ht="16.8" customHeight="1" thickBot="1" x14ac:dyDescent="0.3">
      <c r="A41" s="33"/>
      <c r="B41" s="47" t="s">
        <v>59</v>
      </c>
      <c r="C41" s="34">
        <f>SUM(C40:C40)</f>
        <v>2.5</v>
      </c>
      <c r="D41" s="34"/>
      <c r="E41" s="35">
        <f>SUM(E40:E40)</f>
        <v>8707.5</v>
      </c>
      <c r="F41" s="34"/>
      <c r="G41" s="35">
        <f t="shared" si="9"/>
        <v>8707.5</v>
      </c>
      <c r="H41" s="35"/>
      <c r="I41" s="35"/>
      <c r="J41" s="35"/>
      <c r="K41" s="35"/>
      <c r="L41" s="35"/>
      <c r="M41" s="35"/>
      <c r="N41" s="35"/>
      <c r="O41" s="35"/>
      <c r="P41" s="35">
        <f>SUM(P40:P40)</f>
        <v>11292.5</v>
      </c>
      <c r="Q41" s="35"/>
      <c r="R41" s="35">
        <f>SUM(G41:Q41)</f>
        <v>20000</v>
      </c>
      <c r="S41" s="36">
        <f>SUM(S40:S40)</f>
        <v>60000</v>
      </c>
    </row>
    <row r="42" spans="1:19" s="38" customFormat="1" ht="17.399999999999999" customHeight="1" x14ac:dyDescent="0.25">
      <c r="A42" s="18"/>
      <c r="B42" s="86" t="s">
        <v>79</v>
      </c>
      <c r="C42" s="86"/>
      <c r="D42" s="86"/>
      <c r="E42" s="86"/>
      <c r="F42" s="86"/>
      <c r="G42" s="94"/>
      <c r="H42" s="86"/>
      <c r="I42" s="19"/>
      <c r="J42" s="19"/>
      <c r="K42" s="86"/>
      <c r="L42" s="19"/>
      <c r="M42" s="19"/>
      <c r="N42" s="19"/>
      <c r="O42" s="19"/>
      <c r="P42" s="19"/>
      <c r="Q42" s="86"/>
      <c r="R42" s="86"/>
      <c r="S42" s="87"/>
    </row>
    <row r="43" spans="1:19" s="38" customFormat="1" ht="16.95" customHeight="1" x14ac:dyDescent="0.25">
      <c r="A43" s="20" t="s">
        <v>80</v>
      </c>
      <c r="B43" s="21" t="s">
        <v>64</v>
      </c>
      <c r="C43" s="22">
        <v>0.5</v>
      </c>
      <c r="D43" s="22">
        <v>1</v>
      </c>
      <c r="E43" s="22">
        <v>1597.5</v>
      </c>
      <c r="F43" s="22"/>
      <c r="G43" s="22">
        <v>1597.5</v>
      </c>
      <c r="H43" s="22"/>
      <c r="I43" s="24"/>
      <c r="J43" s="24"/>
      <c r="K43" s="22"/>
      <c r="L43" s="24"/>
      <c r="M43" s="24"/>
      <c r="N43" s="24"/>
      <c r="O43" s="24"/>
      <c r="P43" s="23">
        <f>8000/2-G43</f>
        <v>2402.5</v>
      </c>
      <c r="Q43" s="22"/>
      <c r="R43" s="23">
        <f t="shared" ref="R43" si="11">G43+H43+I43+ J43+K43+L43+N43+O43+P43</f>
        <v>4000</v>
      </c>
      <c r="S43" s="25">
        <f>R43*3</f>
        <v>12000</v>
      </c>
    </row>
    <row r="44" spans="1:19" x14ac:dyDescent="0.25">
      <c r="A44" s="20" t="s">
        <v>81</v>
      </c>
      <c r="B44" s="21" t="s">
        <v>82</v>
      </c>
      <c r="C44" s="22">
        <v>2</v>
      </c>
      <c r="D44" s="22">
        <v>4</v>
      </c>
      <c r="E44" s="23">
        <f>4058*C44</f>
        <v>8116</v>
      </c>
      <c r="F44" s="22"/>
      <c r="G44" s="23">
        <f t="shared" ref="G44:G45" si="12">E44+F44</f>
        <v>8116</v>
      </c>
      <c r="H44" s="23"/>
      <c r="I44" s="23"/>
      <c r="J44" s="23">
        <f>G44*0.04</f>
        <v>324.64</v>
      </c>
      <c r="K44" s="23"/>
      <c r="L44" s="23"/>
      <c r="M44" s="23"/>
      <c r="N44" s="23"/>
      <c r="O44" s="23"/>
      <c r="P44" s="23">
        <f>8000*C44-G44</f>
        <v>7884</v>
      </c>
      <c r="Q44" s="23"/>
      <c r="R44" s="23">
        <f>SUM(G44:P44)</f>
        <v>16324.64</v>
      </c>
      <c r="S44" s="25">
        <f t="shared" ref="S44:S45" si="13">R44*3</f>
        <v>48973.919999999998</v>
      </c>
    </row>
    <row r="45" spans="1:19" x14ac:dyDescent="0.25">
      <c r="A45" s="20" t="s">
        <v>83</v>
      </c>
      <c r="B45" s="21" t="s">
        <v>84</v>
      </c>
      <c r="C45" s="22">
        <v>2</v>
      </c>
      <c r="D45" s="22">
        <v>1</v>
      </c>
      <c r="E45" s="23">
        <f>3195*C45</f>
        <v>6390</v>
      </c>
      <c r="F45" s="22"/>
      <c r="G45" s="23">
        <f t="shared" si="12"/>
        <v>6390</v>
      </c>
      <c r="H45" s="23"/>
      <c r="I45" s="23">
        <f>G45*0.1</f>
        <v>639</v>
      </c>
      <c r="J45" s="23"/>
      <c r="K45" s="23"/>
      <c r="L45" s="23"/>
      <c r="M45" s="23"/>
      <c r="N45" s="23"/>
      <c r="O45" s="23"/>
      <c r="P45" s="23">
        <f>8000*C45-G45</f>
        <v>9610</v>
      </c>
      <c r="Q45" s="23"/>
      <c r="R45" s="23">
        <f>SUM(G45:P45)</f>
        <v>16639</v>
      </c>
      <c r="S45" s="25">
        <f t="shared" si="13"/>
        <v>49917</v>
      </c>
    </row>
    <row r="46" spans="1:19" s="37" customFormat="1" ht="18" customHeight="1" thickBot="1" x14ac:dyDescent="0.3">
      <c r="A46" s="33"/>
      <c r="B46" s="47" t="s">
        <v>59</v>
      </c>
      <c r="C46" s="34">
        <f>SUM(C43:C45)</f>
        <v>4.5</v>
      </c>
      <c r="D46" s="34"/>
      <c r="E46" s="35">
        <f>SUM(E43:E45)</f>
        <v>16103.5</v>
      </c>
      <c r="F46" s="34"/>
      <c r="G46" s="35">
        <f>SUM(G43:G45)</f>
        <v>16103.5</v>
      </c>
      <c r="H46" s="35"/>
      <c r="I46" s="35">
        <f>SUM(I45:I45)</f>
        <v>639</v>
      </c>
      <c r="J46" s="35">
        <f>SUM(J44:J45)</f>
        <v>324.64</v>
      </c>
      <c r="K46" s="35"/>
      <c r="L46" s="35"/>
      <c r="M46" s="35"/>
      <c r="N46" s="35"/>
      <c r="O46" s="35"/>
      <c r="P46" s="35">
        <f>SUM(P43:P45)</f>
        <v>19896.5</v>
      </c>
      <c r="Q46" s="35"/>
      <c r="R46" s="35">
        <f>SUM(R43:R45)</f>
        <v>36963.64</v>
      </c>
      <c r="S46" s="36">
        <f>SUM(S43:S45)</f>
        <v>110890.92</v>
      </c>
    </row>
    <row r="47" spans="1:19" s="39" customFormat="1" ht="13.5" customHeight="1" x14ac:dyDescent="0.25">
      <c r="A47" s="98" t="s">
        <v>316</v>
      </c>
      <c r="B47" s="99" t="s">
        <v>85</v>
      </c>
      <c r="C47" s="100"/>
      <c r="D47" s="100"/>
      <c r="E47" s="101"/>
      <c r="F47" s="100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2"/>
    </row>
    <row r="48" spans="1:19" s="42" customFormat="1" x14ac:dyDescent="0.25">
      <c r="A48" s="43" t="s">
        <v>86</v>
      </c>
      <c r="B48" s="21" t="s">
        <v>87</v>
      </c>
      <c r="C48" s="22">
        <v>0.5</v>
      </c>
      <c r="D48" s="22">
        <v>10</v>
      </c>
      <c r="E48" s="23">
        <f>5815*C48</f>
        <v>2907.5</v>
      </c>
      <c r="F48" s="22"/>
      <c r="G48" s="23">
        <f>E48</f>
        <v>2907.5</v>
      </c>
      <c r="H48" s="23"/>
      <c r="I48" s="23"/>
      <c r="J48" s="40"/>
      <c r="K48" s="23">
        <f>G48*0.3</f>
        <v>872.25</v>
      </c>
      <c r="L48" s="41">
        <f>20000*C48-G48-K48</f>
        <v>6220.25</v>
      </c>
      <c r="M48" s="23"/>
      <c r="N48" s="23"/>
      <c r="O48" s="23"/>
      <c r="P48" s="23"/>
      <c r="Q48" s="23"/>
      <c r="R48" s="23">
        <f>G48+K48+L48</f>
        <v>10000</v>
      </c>
      <c r="S48" s="25">
        <f>R48*3</f>
        <v>30000</v>
      </c>
    </row>
    <row r="49" spans="1:20" s="42" customFormat="1" x14ac:dyDescent="0.25">
      <c r="A49" s="43" t="s">
        <v>88</v>
      </c>
      <c r="B49" s="21" t="s">
        <v>89</v>
      </c>
      <c r="C49" s="22">
        <v>3</v>
      </c>
      <c r="D49" s="22">
        <v>9</v>
      </c>
      <c r="E49" s="23">
        <f>5527*C49</f>
        <v>16581</v>
      </c>
      <c r="F49" s="22"/>
      <c r="G49" s="23">
        <f>E49</f>
        <v>16581</v>
      </c>
      <c r="H49" s="23"/>
      <c r="I49" s="23"/>
      <c r="J49" s="40"/>
      <c r="K49" s="23"/>
      <c r="L49" s="41">
        <f>15000*C49-G49-K49</f>
        <v>28419</v>
      </c>
      <c r="M49" s="23"/>
      <c r="N49" s="23"/>
      <c r="O49" s="23"/>
      <c r="P49" s="23"/>
      <c r="Q49" s="23"/>
      <c r="R49" s="23">
        <f>G49+K49+L49</f>
        <v>45000</v>
      </c>
      <c r="S49" s="25">
        <f t="shared" ref="S49:S53" si="14">R49*3</f>
        <v>135000</v>
      </c>
    </row>
    <row r="50" spans="1:20" s="42" customFormat="1" x14ac:dyDescent="0.25">
      <c r="A50" s="43" t="s">
        <v>90</v>
      </c>
      <c r="B50" s="21" t="s">
        <v>91</v>
      </c>
      <c r="C50" s="22">
        <v>1</v>
      </c>
      <c r="D50" s="22">
        <v>10</v>
      </c>
      <c r="E50" s="23">
        <v>5815</v>
      </c>
      <c r="F50" s="22"/>
      <c r="G50" s="23">
        <v>5815</v>
      </c>
      <c r="H50" s="23"/>
      <c r="I50" s="23"/>
      <c r="J50" s="40"/>
      <c r="K50" s="23">
        <f>G50*0.3</f>
        <v>1744.5</v>
      </c>
      <c r="L50" s="41">
        <f>13500-G50-K50</f>
        <v>5940.5</v>
      </c>
      <c r="M50" s="23"/>
      <c r="N50" s="23"/>
      <c r="O50" s="23"/>
      <c r="P50" s="23"/>
      <c r="Q50" s="23"/>
      <c r="R50" s="23">
        <f>G50+K50+L50</f>
        <v>13500</v>
      </c>
      <c r="S50" s="25">
        <f t="shared" si="14"/>
        <v>40500</v>
      </c>
    </row>
    <row r="51" spans="1:20" s="42" customFormat="1" x14ac:dyDescent="0.25">
      <c r="A51" s="43" t="s">
        <v>92</v>
      </c>
      <c r="B51" s="21" t="s">
        <v>93</v>
      </c>
      <c r="C51" s="22">
        <v>1</v>
      </c>
      <c r="D51" s="22">
        <v>4</v>
      </c>
      <c r="E51" s="23">
        <v>4058</v>
      </c>
      <c r="F51" s="22"/>
      <c r="G51" s="23">
        <v>4058</v>
      </c>
      <c r="H51" s="23"/>
      <c r="I51" s="23"/>
      <c r="J51" s="40"/>
      <c r="K51" s="23"/>
      <c r="L51" s="23"/>
      <c r="M51" s="23"/>
      <c r="N51" s="23"/>
      <c r="O51" s="23">
        <f>G51*200%</f>
        <v>8116</v>
      </c>
      <c r="P51" s="23"/>
      <c r="Q51" s="23"/>
      <c r="R51" s="23">
        <f>O51+G51</f>
        <v>12174</v>
      </c>
      <c r="S51" s="25">
        <f t="shared" si="14"/>
        <v>36522</v>
      </c>
    </row>
    <row r="52" spans="1:20" s="42" customFormat="1" x14ac:dyDescent="0.25">
      <c r="A52" s="43" t="s">
        <v>94</v>
      </c>
      <c r="B52" s="21" t="s">
        <v>95</v>
      </c>
      <c r="C52" s="22">
        <v>1</v>
      </c>
      <c r="D52" s="22">
        <v>5</v>
      </c>
      <c r="E52" s="23">
        <v>4345</v>
      </c>
      <c r="F52" s="23"/>
      <c r="G52" s="23">
        <f>E52+F52</f>
        <v>4345</v>
      </c>
      <c r="H52" s="23"/>
      <c r="I52" s="23"/>
      <c r="J52" s="23"/>
      <c r="K52" s="23"/>
      <c r="L52" s="23"/>
      <c r="M52" s="23"/>
      <c r="N52" s="23"/>
      <c r="O52" s="23"/>
      <c r="P52" s="23">
        <f>8000-G52</f>
        <v>3655</v>
      </c>
      <c r="Q52" s="32"/>
      <c r="R52" s="23">
        <f>G52+P52</f>
        <v>8000</v>
      </c>
      <c r="S52" s="25">
        <f t="shared" si="14"/>
        <v>24000</v>
      </c>
    </row>
    <row r="53" spans="1:20" x14ac:dyDescent="0.25">
      <c r="A53" s="43" t="s">
        <v>96</v>
      </c>
      <c r="B53" s="21" t="s">
        <v>97</v>
      </c>
      <c r="C53" s="22">
        <v>0.5</v>
      </c>
      <c r="D53" s="22">
        <v>9</v>
      </c>
      <c r="E53" s="23">
        <v>2763.5</v>
      </c>
      <c r="F53" s="22"/>
      <c r="G53" s="23">
        <f t="shared" ref="G53" si="15">E53+F53</f>
        <v>2763.5</v>
      </c>
      <c r="H53" s="23"/>
      <c r="I53" s="23"/>
      <c r="J53" s="23"/>
      <c r="K53" s="23">
        <f>G53*0.3</f>
        <v>829.05</v>
      </c>
      <c r="L53" s="23">
        <f>6750-G53-K53</f>
        <v>3157.45</v>
      </c>
      <c r="M53" s="23"/>
      <c r="N53" s="23"/>
      <c r="O53" s="23"/>
      <c r="P53" s="23"/>
      <c r="Q53" s="23"/>
      <c r="R53" s="23">
        <f>L53+K53+G53</f>
        <v>6750</v>
      </c>
      <c r="S53" s="25">
        <f t="shared" si="14"/>
        <v>20250</v>
      </c>
    </row>
    <row r="54" spans="1:20" s="45" customFormat="1" ht="13.8" customHeight="1" thickBot="1" x14ac:dyDescent="0.25">
      <c r="A54" s="103"/>
      <c r="B54" s="104" t="s">
        <v>59</v>
      </c>
      <c r="C54" s="105">
        <f>SUM(C48:C53)</f>
        <v>7</v>
      </c>
      <c r="D54" s="105"/>
      <c r="E54" s="106">
        <f>SUM(E48:E53)</f>
        <v>36470</v>
      </c>
      <c r="F54" s="105"/>
      <c r="G54" s="106">
        <f>SUM(G48:G53)</f>
        <v>36470</v>
      </c>
      <c r="H54" s="106"/>
      <c r="I54" s="106"/>
      <c r="J54" s="106"/>
      <c r="K54" s="106">
        <f>SUM(K48:K53)</f>
        <v>3445.8</v>
      </c>
      <c r="L54" s="106">
        <f>SUM(L48:L53)</f>
        <v>43737.2</v>
      </c>
      <c r="M54" s="106"/>
      <c r="N54" s="106"/>
      <c r="O54" s="106">
        <f>SUM(O48:O52)</f>
        <v>8116</v>
      </c>
      <c r="P54" s="106">
        <f>SUM(P48:P53)</f>
        <v>3655</v>
      </c>
      <c r="Q54" s="106"/>
      <c r="R54" s="106">
        <f>SUM(R48:R53)</f>
        <v>95424</v>
      </c>
      <c r="S54" s="107">
        <f>SUM(S48:S53)</f>
        <v>286272</v>
      </c>
    </row>
    <row r="55" spans="1:20" s="38" customFormat="1" ht="22.8" customHeight="1" x14ac:dyDescent="0.25">
      <c r="A55" s="108"/>
      <c r="B55" s="86" t="s">
        <v>98</v>
      </c>
      <c r="C55" s="85"/>
      <c r="D55" s="85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109"/>
      <c r="R55" s="94"/>
      <c r="S55" s="110"/>
      <c r="T55" s="46"/>
    </row>
    <row r="56" spans="1:20" s="38" customFormat="1" x14ac:dyDescent="0.25">
      <c r="A56" s="43" t="s">
        <v>99</v>
      </c>
      <c r="B56" s="21" t="s">
        <v>100</v>
      </c>
      <c r="C56" s="22">
        <v>0.25</v>
      </c>
      <c r="D56" s="22">
        <v>14</v>
      </c>
      <c r="E56" s="23">
        <f>7732*C56</f>
        <v>1933</v>
      </c>
      <c r="F56" s="23">
        <f>E56*10%</f>
        <v>193.3</v>
      </c>
      <c r="G56" s="23">
        <f>E56+F56</f>
        <v>2126.3000000000002</v>
      </c>
      <c r="H56" s="23"/>
      <c r="I56" s="23"/>
      <c r="J56" s="23"/>
      <c r="K56" s="23">
        <f>G56*0.3</f>
        <v>637.89</v>
      </c>
      <c r="L56" s="23">
        <f>20000*C56-G56-K56</f>
        <v>2235.81</v>
      </c>
      <c r="M56" s="23"/>
      <c r="N56" s="23"/>
      <c r="O56" s="23"/>
      <c r="P56" s="23"/>
      <c r="Q56" s="32"/>
      <c r="R56" s="23">
        <f>G56+K56+L56</f>
        <v>5000</v>
      </c>
      <c r="S56" s="25">
        <f>R56*3</f>
        <v>15000</v>
      </c>
      <c r="T56" s="46"/>
    </row>
    <row r="57" spans="1:20" s="38" customFormat="1" x14ac:dyDescent="0.25">
      <c r="A57" s="43" t="s">
        <v>101</v>
      </c>
      <c r="B57" s="21" t="s">
        <v>102</v>
      </c>
      <c r="C57" s="22">
        <v>0.5</v>
      </c>
      <c r="D57" s="22">
        <v>13</v>
      </c>
      <c r="E57" s="23">
        <v>3626</v>
      </c>
      <c r="F57" s="23">
        <f>E57*0.15</f>
        <v>543.9</v>
      </c>
      <c r="G57" s="23">
        <f>E57+F57</f>
        <v>4169.8999999999996</v>
      </c>
      <c r="H57" s="23"/>
      <c r="I57" s="23"/>
      <c r="J57" s="23"/>
      <c r="K57" s="23">
        <f>G57*0.3</f>
        <v>1250.9699999999998</v>
      </c>
      <c r="L57" s="23">
        <f>20000*C57-G57-K57</f>
        <v>4579.130000000001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ref="S57:S59" si="16">R57*3</f>
        <v>30000</v>
      </c>
      <c r="T57" s="46"/>
    </row>
    <row r="58" spans="1:20" s="38" customFormat="1" x14ac:dyDescent="0.25">
      <c r="A58" s="43" t="s">
        <v>103</v>
      </c>
      <c r="B58" s="21" t="s">
        <v>104</v>
      </c>
      <c r="C58" s="22">
        <v>0.5</v>
      </c>
      <c r="D58" s="22">
        <v>13</v>
      </c>
      <c r="E58" s="23">
        <v>3626</v>
      </c>
      <c r="F58" s="23">
        <f>E58*0.15</f>
        <v>543.9</v>
      </c>
      <c r="G58" s="23">
        <f>E58+F58</f>
        <v>4169.8999999999996</v>
      </c>
      <c r="H58" s="23"/>
      <c r="I58" s="23"/>
      <c r="J58" s="23"/>
      <c r="K58" s="23">
        <f>G58*0.3</f>
        <v>1250.9699999999998</v>
      </c>
      <c r="L58" s="23">
        <f>10000-G58-K58</f>
        <v>4579.130000000001</v>
      </c>
      <c r="M58" s="23"/>
      <c r="N58" s="23"/>
      <c r="O58" s="23"/>
      <c r="P58" s="23"/>
      <c r="Q58" s="32"/>
      <c r="R58" s="23">
        <f>G58+K58+L58</f>
        <v>10000</v>
      </c>
      <c r="S58" s="25">
        <f t="shared" si="16"/>
        <v>30000</v>
      </c>
      <c r="T58" s="46"/>
    </row>
    <row r="59" spans="1:20" s="38" customFormat="1" x14ac:dyDescent="0.25">
      <c r="A59" s="43" t="s">
        <v>105</v>
      </c>
      <c r="B59" s="21" t="s">
        <v>106</v>
      </c>
      <c r="C59" s="22">
        <v>1</v>
      </c>
      <c r="D59" s="22">
        <v>5</v>
      </c>
      <c r="E59" s="23">
        <v>4345</v>
      </c>
      <c r="F59" s="23"/>
      <c r="G59" s="23">
        <f>E59+F59</f>
        <v>4345</v>
      </c>
      <c r="H59" s="23"/>
      <c r="I59" s="23"/>
      <c r="J59" s="23"/>
      <c r="K59" s="23"/>
      <c r="L59" s="23"/>
      <c r="M59" s="23"/>
      <c r="N59" s="23"/>
      <c r="O59" s="23"/>
      <c r="P59" s="23">
        <f>8000-G59</f>
        <v>3655</v>
      </c>
      <c r="Q59" s="32"/>
      <c r="R59" s="23">
        <f>G59+P59</f>
        <v>8000</v>
      </c>
      <c r="S59" s="25">
        <f t="shared" si="16"/>
        <v>24000</v>
      </c>
      <c r="T59" s="46"/>
    </row>
    <row r="60" spans="1:20" s="49" customFormat="1" ht="20.399999999999999" customHeight="1" thickBot="1" x14ac:dyDescent="0.3">
      <c r="A60" s="64"/>
      <c r="B60" s="47" t="s">
        <v>59</v>
      </c>
      <c r="C60" s="34">
        <v>2.25</v>
      </c>
      <c r="D60" s="34"/>
      <c r="E60" s="35">
        <f>SUM(E56:E59)</f>
        <v>13530</v>
      </c>
      <c r="F60" s="35">
        <f t="shared" ref="F60" si="17">SUM(F56:F59)</f>
        <v>1281.0999999999999</v>
      </c>
      <c r="G60" s="35">
        <f>SUM(G56:G59)</f>
        <v>14811.099999999999</v>
      </c>
      <c r="H60" s="35"/>
      <c r="I60" s="35"/>
      <c r="J60" s="35"/>
      <c r="K60" s="35">
        <f t="shared" ref="K60:L60" si="18">SUM(K56:K59)</f>
        <v>3139.8299999999995</v>
      </c>
      <c r="L60" s="35">
        <f t="shared" si="18"/>
        <v>11394.070000000002</v>
      </c>
      <c r="M60" s="35"/>
      <c r="N60" s="35"/>
      <c r="O60" s="35"/>
      <c r="P60" s="35">
        <f t="shared" ref="P60:Q60" si="19">SUM(P56:P59)</f>
        <v>3655</v>
      </c>
      <c r="Q60" s="35">
        <f t="shared" si="19"/>
        <v>0</v>
      </c>
      <c r="R60" s="35">
        <f>SUM(G60:Q60)</f>
        <v>33000</v>
      </c>
      <c r="S60" s="36">
        <f>SUM(S56:S59)</f>
        <v>99000</v>
      </c>
      <c r="T60" s="48"/>
    </row>
    <row r="61" spans="1:20" ht="24" customHeight="1" x14ac:dyDescent="0.25">
      <c r="A61" s="18"/>
      <c r="B61" s="86" t="s">
        <v>107</v>
      </c>
      <c r="C61" s="86"/>
      <c r="D61" s="86"/>
      <c r="E61" s="92"/>
      <c r="F61" s="86"/>
      <c r="G61" s="94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3"/>
    </row>
    <row r="62" spans="1:20" s="13" customFormat="1" ht="38.4" customHeight="1" x14ac:dyDescent="0.2">
      <c r="A62" s="28"/>
      <c r="B62" s="29" t="s">
        <v>108</v>
      </c>
      <c r="C62" s="22"/>
      <c r="D62" s="22"/>
      <c r="E62" s="23"/>
      <c r="F62" s="22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5"/>
    </row>
    <row r="63" spans="1:20" ht="13.95" customHeight="1" x14ac:dyDescent="0.25">
      <c r="A63" s="20" t="s">
        <v>109</v>
      </c>
      <c r="B63" s="21" t="s">
        <v>110</v>
      </c>
      <c r="C63" s="22">
        <v>1</v>
      </c>
      <c r="D63" s="22">
        <v>11</v>
      </c>
      <c r="E63" s="23">
        <v>6294</v>
      </c>
      <c r="F63" s="22">
        <f>E63*0.25</f>
        <v>1573.5</v>
      </c>
      <c r="G63" s="23">
        <f t="shared" ref="G63:G126" si="20">E63+F63</f>
        <v>7867.5</v>
      </c>
      <c r="H63" s="23"/>
      <c r="I63" s="23"/>
      <c r="J63" s="23"/>
      <c r="K63" s="23">
        <f>G63*0.3</f>
        <v>2360.25</v>
      </c>
      <c r="L63" s="41">
        <f>20000-G63-K63</f>
        <v>9772.25</v>
      </c>
      <c r="M63" s="23"/>
      <c r="N63" s="23"/>
      <c r="O63" s="23"/>
      <c r="P63" s="23"/>
      <c r="Q63" s="23"/>
      <c r="R63" s="23">
        <f t="shared" ref="R63:R75" si="21">G63+K63+L63</f>
        <v>20000</v>
      </c>
      <c r="S63" s="25">
        <f>R63*3</f>
        <v>60000</v>
      </c>
    </row>
    <row r="64" spans="1:20" x14ac:dyDescent="0.25">
      <c r="A64" s="20" t="s">
        <v>111</v>
      </c>
      <c r="B64" s="21" t="s">
        <v>112</v>
      </c>
      <c r="C64" s="22">
        <v>1.25</v>
      </c>
      <c r="D64" s="22">
        <v>12</v>
      </c>
      <c r="E64" s="23">
        <f>6773*C64</f>
        <v>8466.25</v>
      </c>
      <c r="F64" s="22"/>
      <c r="G64" s="23">
        <f t="shared" si="20"/>
        <v>8466.25</v>
      </c>
      <c r="H64" s="23"/>
      <c r="I64" s="23"/>
      <c r="J64" s="23"/>
      <c r="K64" s="23">
        <f t="shared" ref="K64:K77" si="22">G64*0.3</f>
        <v>2539.875</v>
      </c>
      <c r="L64" s="23">
        <f>20000*C64-G64-K64</f>
        <v>13993.875</v>
      </c>
      <c r="M64" s="23"/>
      <c r="N64" s="23"/>
      <c r="O64" s="23"/>
      <c r="P64" s="23"/>
      <c r="Q64" s="23"/>
      <c r="R64" s="23">
        <f t="shared" si="21"/>
        <v>25000</v>
      </c>
      <c r="S64" s="25">
        <f t="shared" ref="S64:S80" si="23">R64*3</f>
        <v>75000</v>
      </c>
    </row>
    <row r="65" spans="1:20" x14ac:dyDescent="0.25">
      <c r="A65" s="20" t="s">
        <v>113</v>
      </c>
      <c r="B65" s="21" t="s">
        <v>114</v>
      </c>
      <c r="C65" s="22">
        <v>1</v>
      </c>
      <c r="D65" s="22">
        <v>14</v>
      </c>
      <c r="E65" s="23">
        <v>7732</v>
      </c>
      <c r="F65" s="22"/>
      <c r="G65" s="23">
        <f t="shared" si="20"/>
        <v>7732</v>
      </c>
      <c r="H65" s="23"/>
      <c r="I65" s="23"/>
      <c r="J65" s="23"/>
      <c r="K65" s="23">
        <f t="shared" si="22"/>
        <v>2319.6</v>
      </c>
      <c r="L65" s="41">
        <f>20000-G65-K65</f>
        <v>9948.4</v>
      </c>
      <c r="M65" s="23"/>
      <c r="N65" s="23"/>
      <c r="O65" s="23"/>
      <c r="P65" s="23"/>
      <c r="Q65" s="23"/>
      <c r="R65" s="23">
        <f t="shared" si="21"/>
        <v>20000</v>
      </c>
      <c r="S65" s="25">
        <f t="shared" si="23"/>
        <v>60000</v>
      </c>
    </row>
    <row r="66" spans="1:20" x14ac:dyDescent="0.25">
      <c r="A66" s="20" t="s">
        <v>115</v>
      </c>
      <c r="B66" s="21" t="s">
        <v>116</v>
      </c>
      <c r="C66" s="22">
        <v>0.5</v>
      </c>
      <c r="D66" s="22">
        <v>14</v>
      </c>
      <c r="E66" s="23">
        <v>3868</v>
      </c>
      <c r="F66" s="22"/>
      <c r="G66" s="23">
        <f t="shared" si="20"/>
        <v>3868</v>
      </c>
      <c r="H66" s="23"/>
      <c r="I66" s="23"/>
      <c r="J66" s="23"/>
      <c r="K66" s="23">
        <f t="shared" si="22"/>
        <v>1160.3999999999999</v>
      </c>
      <c r="L66" s="41">
        <f>20000/2-G66-K66</f>
        <v>4971.6000000000004</v>
      </c>
      <c r="M66" s="23"/>
      <c r="N66" s="23"/>
      <c r="O66" s="23"/>
      <c r="P66" s="23"/>
      <c r="Q66" s="23"/>
      <c r="R66" s="23">
        <f t="shared" si="21"/>
        <v>10000</v>
      </c>
      <c r="S66" s="25">
        <f t="shared" si="23"/>
        <v>30000</v>
      </c>
    </row>
    <row r="67" spans="1:20" x14ac:dyDescent="0.25">
      <c r="A67" s="20" t="s">
        <v>117</v>
      </c>
      <c r="B67" s="21" t="s">
        <v>118</v>
      </c>
      <c r="C67" s="22">
        <v>0.25</v>
      </c>
      <c r="D67" s="22">
        <v>14</v>
      </c>
      <c r="E67" s="23">
        <f>7732*C67</f>
        <v>1933</v>
      </c>
      <c r="F67" s="22"/>
      <c r="G67" s="23">
        <f t="shared" si="20"/>
        <v>1933</v>
      </c>
      <c r="H67" s="23"/>
      <c r="I67" s="23"/>
      <c r="J67" s="23"/>
      <c r="K67" s="23">
        <f t="shared" si="22"/>
        <v>579.9</v>
      </c>
      <c r="L67" s="41">
        <f>20000*C67-G67-K67</f>
        <v>2487.1</v>
      </c>
      <c r="M67" s="23"/>
      <c r="N67" s="23"/>
      <c r="O67" s="23"/>
      <c r="P67" s="23"/>
      <c r="Q67" s="23"/>
      <c r="R67" s="23">
        <f t="shared" si="21"/>
        <v>5000</v>
      </c>
      <c r="S67" s="25">
        <f t="shared" si="23"/>
        <v>15000</v>
      </c>
    </row>
    <row r="68" spans="1:20" x14ac:dyDescent="0.25">
      <c r="A68" s="20" t="s">
        <v>119</v>
      </c>
      <c r="B68" s="21" t="s">
        <v>120</v>
      </c>
      <c r="C68" s="22">
        <v>2.5</v>
      </c>
      <c r="D68" s="22">
        <v>13</v>
      </c>
      <c r="E68" s="23">
        <f>7253*C68</f>
        <v>18132.5</v>
      </c>
      <c r="F68" s="22"/>
      <c r="G68" s="23">
        <f t="shared" si="20"/>
        <v>18132.5</v>
      </c>
      <c r="H68" s="23"/>
      <c r="I68" s="23"/>
      <c r="J68" s="23"/>
      <c r="K68" s="23">
        <f t="shared" si="22"/>
        <v>5439.75</v>
      </c>
      <c r="L68" s="41">
        <f t="shared" ref="L68:L73" si="24">20000*C68-G68-K68-N68</f>
        <v>24229.85</v>
      </c>
      <c r="M68" s="23"/>
      <c r="N68" s="23">
        <f>879.16*C68</f>
        <v>2197.9</v>
      </c>
      <c r="O68" s="23"/>
      <c r="P68" s="23"/>
      <c r="Q68" s="23"/>
      <c r="R68" s="23">
        <f t="shared" ref="R68:R73" si="25">G68+K68+L68+N68</f>
        <v>50000</v>
      </c>
      <c r="S68" s="25">
        <f t="shared" si="23"/>
        <v>150000</v>
      </c>
    </row>
    <row r="69" spans="1:20" ht="11.4" customHeight="1" x14ac:dyDescent="0.25">
      <c r="A69" s="20" t="s">
        <v>119</v>
      </c>
      <c r="B69" s="21" t="s">
        <v>121</v>
      </c>
      <c r="C69" s="22">
        <v>0.5</v>
      </c>
      <c r="D69" s="22">
        <v>14</v>
      </c>
      <c r="E69" s="23">
        <f>7732*C69</f>
        <v>3866</v>
      </c>
      <c r="F69" s="22"/>
      <c r="G69" s="23">
        <f t="shared" si="20"/>
        <v>3866</v>
      </c>
      <c r="H69" s="23"/>
      <c r="I69" s="23"/>
      <c r="J69" s="23"/>
      <c r="K69" s="23">
        <f t="shared" si="22"/>
        <v>1159.8</v>
      </c>
      <c r="L69" s="41">
        <f t="shared" si="24"/>
        <v>4505.5999999999995</v>
      </c>
      <c r="M69" s="23"/>
      <c r="N69" s="23">
        <v>468.6</v>
      </c>
      <c r="O69" s="23"/>
      <c r="P69" s="23"/>
      <c r="Q69" s="23"/>
      <c r="R69" s="23">
        <f t="shared" si="25"/>
        <v>10000</v>
      </c>
      <c r="S69" s="25">
        <f t="shared" si="23"/>
        <v>30000</v>
      </c>
    </row>
    <row r="70" spans="1:20" x14ac:dyDescent="0.25">
      <c r="A70" s="20" t="s">
        <v>119</v>
      </c>
      <c r="B70" s="21" t="s">
        <v>122</v>
      </c>
      <c r="C70" s="22">
        <v>0.25</v>
      </c>
      <c r="D70" s="22">
        <v>14</v>
      </c>
      <c r="E70" s="23">
        <f>7732*C70</f>
        <v>1933</v>
      </c>
      <c r="F70" s="22"/>
      <c r="G70" s="23">
        <f t="shared" si="20"/>
        <v>1933</v>
      </c>
      <c r="H70" s="23"/>
      <c r="I70" s="23"/>
      <c r="J70" s="23"/>
      <c r="K70" s="23">
        <f t="shared" si="22"/>
        <v>579.9</v>
      </c>
      <c r="L70" s="41">
        <f t="shared" si="24"/>
        <v>2252.7999999999997</v>
      </c>
      <c r="M70" s="23"/>
      <c r="N70" s="23">
        <v>234.3</v>
      </c>
      <c r="O70" s="23"/>
      <c r="P70" s="23"/>
      <c r="Q70" s="23"/>
      <c r="R70" s="23">
        <f t="shared" si="25"/>
        <v>5000</v>
      </c>
      <c r="S70" s="25">
        <f t="shared" si="23"/>
        <v>15000</v>
      </c>
    </row>
    <row r="71" spans="1:20" x14ac:dyDescent="0.25">
      <c r="A71" s="20" t="s">
        <v>119</v>
      </c>
      <c r="B71" s="21" t="s">
        <v>123</v>
      </c>
      <c r="C71" s="22">
        <v>0.5</v>
      </c>
      <c r="D71" s="22">
        <v>14</v>
      </c>
      <c r="E71" s="23">
        <f>7732*C71</f>
        <v>3866</v>
      </c>
      <c r="F71" s="22"/>
      <c r="G71" s="23">
        <f t="shared" si="20"/>
        <v>3866</v>
      </c>
      <c r="H71" s="23"/>
      <c r="I71" s="23"/>
      <c r="J71" s="23"/>
      <c r="K71" s="23">
        <f t="shared" si="22"/>
        <v>1159.8</v>
      </c>
      <c r="L71" s="41">
        <f t="shared" si="24"/>
        <v>4739.8999999999996</v>
      </c>
      <c r="M71" s="23"/>
      <c r="N71" s="23">
        <v>234.3</v>
      </c>
      <c r="O71" s="23"/>
      <c r="P71" s="23"/>
      <c r="Q71" s="23"/>
      <c r="R71" s="23">
        <f t="shared" si="25"/>
        <v>10000</v>
      </c>
      <c r="S71" s="25">
        <f t="shared" si="23"/>
        <v>30000</v>
      </c>
    </row>
    <row r="72" spans="1:20" x14ac:dyDescent="0.25">
      <c r="A72" s="20" t="s">
        <v>119</v>
      </c>
      <c r="B72" s="21" t="s">
        <v>124</v>
      </c>
      <c r="C72" s="22">
        <v>1</v>
      </c>
      <c r="D72" s="22">
        <v>14</v>
      </c>
      <c r="E72" s="23">
        <f>7732*C72</f>
        <v>7732</v>
      </c>
      <c r="F72" s="22"/>
      <c r="G72" s="23">
        <f t="shared" si="20"/>
        <v>7732</v>
      </c>
      <c r="H72" s="23"/>
      <c r="I72" s="23"/>
      <c r="J72" s="23"/>
      <c r="K72" s="23">
        <f t="shared" si="22"/>
        <v>2319.6</v>
      </c>
      <c r="L72" s="41">
        <f t="shared" si="24"/>
        <v>9011.1999999999989</v>
      </c>
      <c r="M72" s="23"/>
      <c r="N72" s="23">
        <v>937.2</v>
      </c>
      <c r="O72" s="23"/>
      <c r="P72" s="23"/>
      <c r="Q72" s="23"/>
      <c r="R72" s="23">
        <f t="shared" si="25"/>
        <v>20000</v>
      </c>
      <c r="S72" s="25">
        <f t="shared" si="23"/>
        <v>60000</v>
      </c>
    </row>
    <row r="73" spans="1:20" x14ac:dyDescent="0.25">
      <c r="A73" s="20" t="s">
        <v>119</v>
      </c>
      <c r="B73" s="21" t="s">
        <v>125</v>
      </c>
      <c r="C73" s="22">
        <v>0.5</v>
      </c>
      <c r="D73" s="22">
        <v>13</v>
      </c>
      <c r="E73" s="23">
        <f>7253*C73</f>
        <v>3626.5</v>
      </c>
      <c r="F73" s="22"/>
      <c r="G73" s="23">
        <f t="shared" si="20"/>
        <v>3626.5</v>
      </c>
      <c r="H73" s="23"/>
      <c r="I73" s="23"/>
      <c r="J73" s="23"/>
      <c r="K73" s="23">
        <f t="shared" si="22"/>
        <v>1087.95</v>
      </c>
      <c r="L73" s="41">
        <f t="shared" si="24"/>
        <v>4845.97</v>
      </c>
      <c r="M73" s="23"/>
      <c r="N73" s="23">
        <f>879.16*C73</f>
        <v>439.58</v>
      </c>
      <c r="O73" s="23"/>
      <c r="P73" s="23"/>
      <c r="Q73" s="23"/>
      <c r="R73" s="23">
        <f t="shared" si="25"/>
        <v>10000</v>
      </c>
      <c r="S73" s="25">
        <f t="shared" si="23"/>
        <v>30000</v>
      </c>
    </row>
    <row r="74" spans="1:20" s="13" customFormat="1" x14ac:dyDescent="0.25">
      <c r="A74" s="20" t="s">
        <v>119</v>
      </c>
      <c r="B74" s="21" t="s">
        <v>126</v>
      </c>
      <c r="C74" s="22">
        <v>0.25</v>
      </c>
      <c r="D74" s="22">
        <v>14</v>
      </c>
      <c r="E74" s="23">
        <f>7732*C74</f>
        <v>1933</v>
      </c>
      <c r="F74" s="22"/>
      <c r="G74" s="23">
        <f>E74+F74</f>
        <v>1933</v>
      </c>
      <c r="H74" s="23"/>
      <c r="I74" s="23"/>
      <c r="J74" s="23"/>
      <c r="K74" s="23">
        <f t="shared" si="22"/>
        <v>579.9</v>
      </c>
      <c r="L74" s="23">
        <f>20000*C74-G74-K74</f>
        <v>2487.1</v>
      </c>
      <c r="M74" s="23"/>
      <c r="N74" s="23">
        <v>234.3</v>
      </c>
      <c r="O74" s="23"/>
      <c r="P74" s="23"/>
      <c r="Q74" s="23"/>
      <c r="R74" s="23">
        <f>G74+K74+L74</f>
        <v>5000</v>
      </c>
      <c r="S74" s="25">
        <f t="shared" si="23"/>
        <v>15000</v>
      </c>
      <c r="T74" s="52"/>
    </row>
    <row r="75" spans="1:20" x14ac:dyDescent="0.25">
      <c r="A75" s="20" t="s">
        <v>127</v>
      </c>
      <c r="B75" s="21" t="s">
        <v>128</v>
      </c>
      <c r="C75" s="22">
        <v>1</v>
      </c>
      <c r="D75" s="22">
        <v>9</v>
      </c>
      <c r="E75" s="23">
        <v>5527</v>
      </c>
      <c r="F75" s="22">
        <f>E75*0.1</f>
        <v>552.70000000000005</v>
      </c>
      <c r="G75" s="23">
        <f t="shared" si="20"/>
        <v>6079.7</v>
      </c>
      <c r="H75" s="23"/>
      <c r="I75" s="23"/>
      <c r="J75" s="23"/>
      <c r="K75" s="23">
        <f t="shared" si="22"/>
        <v>1823.9099999999999</v>
      </c>
      <c r="L75" s="41">
        <v>5596.39</v>
      </c>
      <c r="M75" s="23"/>
      <c r="N75" s="23"/>
      <c r="O75" s="23"/>
      <c r="P75" s="23"/>
      <c r="Q75" s="23"/>
      <c r="R75" s="23">
        <f t="shared" si="21"/>
        <v>13500</v>
      </c>
      <c r="S75" s="25">
        <f t="shared" si="23"/>
        <v>40500</v>
      </c>
    </row>
    <row r="76" spans="1:20" x14ac:dyDescent="0.25">
      <c r="A76" s="20" t="s">
        <v>129</v>
      </c>
      <c r="B76" s="21" t="s">
        <v>130</v>
      </c>
      <c r="C76" s="22">
        <v>10</v>
      </c>
      <c r="D76" s="22">
        <v>9</v>
      </c>
      <c r="E76" s="23">
        <f>5527*C76</f>
        <v>55270</v>
      </c>
      <c r="F76" s="22"/>
      <c r="G76" s="23">
        <f t="shared" si="20"/>
        <v>55270</v>
      </c>
      <c r="H76" s="23"/>
      <c r="I76" s="23">
        <f t="shared" ref="I76:I78" si="26">G76*0.1</f>
        <v>5527</v>
      </c>
      <c r="J76" s="23"/>
      <c r="K76" s="23">
        <f t="shared" si="22"/>
        <v>16581</v>
      </c>
      <c r="L76" s="41">
        <f>13500*C76-G76-I76-K76-N76</f>
        <v>50922.6</v>
      </c>
      <c r="M76" s="23"/>
      <c r="N76" s="23">
        <f>669.94*C76</f>
        <v>6699.4000000000005</v>
      </c>
      <c r="O76" s="23"/>
      <c r="P76" s="23"/>
      <c r="Q76" s="23"/>
      <c r="R76" s="23">
        <f>G76+I76+K76+L76+N76</f>
        <v>135000</v>
      </c>
      <c r="S76" s="25">
        <f t="shared" si="23"/>
        <v>405000</v>
      </c>
    </row>
    <row r="77" spans="1:20" x14ac:dyDescent="0.25">
      <c r="A77" s="20" t="s">
        <v>131</v>
      </c>
      <c r="B77" s="21" t="s">
        <v>132</v>
      </c>
      <c r="C77" s="22">
        <v>1</v>
      </c>
      <c r="D77" s="22">
        <v>6</v>
      </c>
      <c r="E77" s="23">
        <v>4633</v>
      </c>
      <c r="F77" s="22"/>
      <c r="G77" s="23">
        <f t="shared" si="20"/>
        <v>4633</v>
      </c>
      <c r="H77" s="23"/>
      <c r="I77" s="23">
        <f t="shared" si="26"/>
        <v>463.3</v>
      </c>
      <c r="J77" s="23"/>
      <c r="K77" s="23">
        <f t="shared" si="22"/>
        <v>1389.8999999999999</v>
      </c>
      <c r="L77" s="41">
        <f t="shared" ref="L77" si="27">13500-G77-I77-K77</f>
        <v>7013.8000000000011</v>
      </c>
      <c r="M77" s="23"/>
      <c r="N77" s="23"/>
      <c r="O77" s="23"/>
      <c r="P77" s="23"/>
      <c r="Q77" s="23"/>
      <c r="R77" s="23">
        <f t="shared" ref="R77" si="28">G77+I77+K77+L77</f>
        <v>13500</v>
      </c>
      <c r="S77" s="25">
        <f t="shared" si="23"/>
        <v>40500</v>
      </c>
    </row>
    <row r="78" spans="1:20" x14ac:dyDescent="0.25">
      <c r="A78" s="20" t="s">
        <v>133</v>
      </c>
      <c r="B78" s="21" t="s">
        <v>134</v>
      </c>
      <c r="C78" s="22">
        <v>6</v>
      </c>
      <c r="D78" s="22">
        <v>4</v>
      </c>
      <c r="E78" s="23">
        <f>4058*C78</f>
        <v>24348</v>
      </c>
      <c r="F78" s="22"/>
      <c r="G78" s="23">
        <f t="shared" si="20"/>
        <v>24348</v>
      </c>
      <c r="H78" s="23"/>
      <c r="I78" s="23">
        <f t="shared" si="26"/>
        <v>2434.8000000000002</v>
      </c>
      <c r="J78" s="23"/>
      <c r="K78" s="23"/>
      <c r="L78" s="23"/>
      <c r="M78" s="23"/>
      <c r="N78" s="23">
        <f>475.33*C78</f>
        <v>2851.98</v>
      </c>
      <c r="O78" s="23"/>
      <c r="P78" s="23">
        <f>8000*C78-G78</f>
        <v>23652</v>
      </c>
      <c r="Q78" s="23"/>
      <c r="R78" s="23">
        <f>E78+I78+P78+N78</f>
        <v>53286.780000000006</v>
      </c>
      <c r="S78" s="25">
        <f t="shared" si="23"/>
        <v>159860.34000000003</v>
      </c>
    </row>
    <row r="79" spans="1:20" x14ac:dyDescent="0.25">
      <c r="A79" s="20" t="s">
        <v>135</v>
      </c>
      <c r="B79" s="21" t="s">
        <v>136</v>
      </c>
      <c r="C79" s="22">
        <v>1</v>
      </c>
      <c r="D79" s="22">
        <v>3</v>
      </c>
      <c r="E79" s="23">
        <v>3770</v>
      </c>
      <c r="F79" s="22"/>
      <c r="G79" s="23">
        <f t="shared" si="20"/>
        <v>3770</v>
      </c>
      <c r="H79" s="23"/>
      <c r="I79" s="23"/>
      <c r="J79" s="23"/>
      <c r="K79" s="23"/>
      <c r="L79" s="23"/>
      <c r="M79" s="23"/>
      <c r="N79" s="23"/>
      <c r="O79" s="23"/>
      <c r="P79" s="23">
        <f t="shared" ref="P79:P80" si="29">8000-G79</f>
        <v>4230</v>
      </c>
      <c r="Q79" s="23"/>
      <c r="R79" s="23">
        <f>G79+P79</f>
        <v>8000</v>
      </c>
      <c r="S79" s="25">
        <f t="shared" si="23"/>
        <v>24000</v>
      </c>
      <c r="T79" s="53"/>
    </row>
    <row r="80" spans="1:20" x14ac:dyDescent="0.25">
      <c r="A80" s="20" t="s">
        <v>137</v>
      </c>
      <c r="B80" s="21" t="s">
        <v>138</v>
      </c>
      <c r="C80" s="22">
        <v>1</v>
      </c>
      <c r="D80" s="22">
        <v>4</v>
      </c>
      <c r="E80" s="23">
        <v>4058</v>
      </c>
      <c r="F80" s="22"/>
      <c r="G80" s="23">
        <f t="shared" si="20"/>
        <v>4058</v>
      </c>
      <c r="H80" s="23"/>
      <c r="I80" s="23"/>
      <c r="J80" s="23"/>
      <c r="K80" s="23"/>
      <c r="L80" s="23"/>
      <c r="M80" s="23"/>
      <c r="N80" s="23"/>
      <c r="O80" s="23"/>
      <c r="P80" s="23">
        <f t="shared" si="29"/>
        <v>3942</v>
      </c>
      <c r="Q80" s="23"/>
      <c r="R80" s="23">
        <f>G80+P80</f>
        <v>8000</v>
      </c>
      <c r="S80" s="25">
        <f t="shared" si="23"/>
        <v>24000</v>
      </c>
      <c r="T80" s="53"/>
    </row>
    <row r="81" spans="1:20" s="27" customFormat="1" ht="24.6" customHeight="1" thickBot="1" x14ac:dyDescent="0.3">
      <c r="A81" s="64"/>
      <c r="B81" s="47" t="s">
        <v>59</v>
      </c>
      <c r="C81" s="34">
        <f>SUM(C63:C80)</f>
        <v>29.5</v>
      </c>
      <c r="D81" s="34"/>
      <c r="E81" s="35">
        <f>SUM(E63:E80)</f>
        <v>166988.25</v>
      </c>
      <c r="F81" s="34">
        <f>SUM(F63:F80)</f>
        <v>2126.1999999999998</v>
      </c>
      <c r="G81" s="35">
        <f>SUM(G63:G80)</f>
        <v>169114.45</v>
      </c>
      <c r="H81" s="35"/>
      <c r="I81" s="35">
        <f>SUM(I63:I80)</f>
        <v>8425.1</v>
      </c>
      <c r="J81" s="35"/>
      <c r="K81" s="35">
        <f>SUM(K63:K80)</f>
        <v>41081.534999999996</v>
      </c>
      <c r="L81" s="35">
        <f>SUM(L63:L80)</f>
        <v>156778.435</v>
      </c>
      <c r="M81" s="35"/>
      <c r="N81" s="35">
        <f>SUM(N68:N80)</f>
        <v>14297.560000000001</v>
      </c>
      <c r="O81" s="35"/>
      <c r="P81" s="35">
        <f>SUM(P63:P80)</f>
        <v>31824</v>
      </c>
      <c r="Q81" s="35"/>
      <c r="R81" s="35">
        <f>SUM(R63:R80)</f>
        <v>421286.78</v>
      </c>
      <c r="S81" s="36">
        <f>SUM(S63:S80)</f>
        <v>1263860.3400000001</v>
      </c>
      <c r="T81" s="54"/>
    </row>
    <row r="82" spans="1:20" s="13" customFormat="1" ht="20.399999999999999" customHeight="1" x14ac:dyDescent="0.2">
      <c r="A82" s="18"/>
      <c r="B82" s="55" t="s">
        <v>139</v>
      </c>
      <c r="C82" s="85"/>
      <c r="D82" s="85"/>
      <c r="E82" s="94"/>
      <c r="F82" s="85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110"/>
      <c r="T82" s="52"/>
    </row>
    <row r="83" spans="1:20" s="13" customFormat="1" x14ac:dyDescent="0.25">
      <c r="A83" s="20" t="s">
        <v>140</v>
      </c>
      <c r="B83" s="21" t="s">
        <v>100</v>
      </c>
      <c r="C83" s="22">
        <v>1</v>
      </c>
      <c r="D83" s="22">
        <v>12</v>
      </c>
      <c r="E83" s="23">
        <v>6773</v>
      </c>
      <c r="F83" s="22">
        <f>E83*0.25</f>
        <v>1693.25</v>
      </c>
      <c r="G83" s="23">
        <f t="shared" ref="G83:G110" si="30">E83+F83</f>
        <v>8466.25</v>
      </c>
      <c r="H83" s="23"/>
      <c r="I83" s="23"/>
      <c r="J83" s="23"/>
      <c r="K83" s="23">
        <f>G83*0.3</f>
        <v>2539.875</v>
      </c>
      <c r="L83" s="23">
        <f t="shared" ref="L83" si="31">20000-G83-K83</f>
        <v>8993.875</v>
      </c>
      <c r="M83" s="23"/>
      <c r="N83" s="23"/>
      <c r="O83" s="23"/>
      <c r="P83" s="23"/>
      <c r="Q83" s="23"/>
      <c r="R83" s="23">
        <f t="shared" ref="R83:R85" si="32">G83+K83+L83</f>
        <v>20000</v>
      </c>
      <c r="S83" s="25">
        <f>R83*3</f>
        <v>60000</v>
      </c>
      <c r="T83" s="52"/>
    </row>
    <row r="84" spans="1:20" s="13" customFormat="1" x14ac:dyDescent="0.25">
      <c r="A84" s="20" t="s">
        <v>141</v>
      </c>
      <c r="B84" s="21" t="s">
        <v>142</v>
      </c>
      <c r="C84" s="22">
        <v>1.5</v>
      </c>
      <c r="D84" s="22">
        <v>14</v>
      </c>
      <c r="E84" s="23">
        <v>11598</v>
      </c>
      <c r="F84" s="22"/>
      <c r="G84" s="23">
        <f t="shared" si="30"/>
        <v>11598</v>
      </c>
      <c r="H84" s="23"/>
      <c r="I84" s="23"/>
      <c r="J84" s="23"/>
      <c r="K84" s="23">
        <f t="shared" ref="K84:K108" si="33">G84*0.3</f>
        <v>3479.4</v>
      </c>
      <c r="L84" s="23">
        <f>30000-G84-K84</f>
        <v>14922.6</v>
      </c>
      <c r="M84" s="23"/>
      <c r="N84" s="23"/>
      <c r="O84" s="23"/>
      <c r="P84" s="23"/>
      <c r="Q84" s="23"/>
      <c r="R84" s="23">
        <f t="shared" si="32"/>
        <v>30000</v>
      </c>
      <c r="S84" s="25">
        <f t="shared" ref="S84:S110" si="34">R84*3</f>
        <v>90000</v>
      </c>
      <c r="T84" s="52"/>
    </row>
    <row r="85" spans="1:20" s="13" customFormat="1" x14ac:dyDescent="0.25">
      <c r="A85" s="20" t="s">
        <v>143</v>
      </c>
      <c r="B85" s="21" t="s">
        <v>144</v>
      </c>
      <c r="C85" s="22">
        <v>1</v>
      </c>
      <c r="D85" s="22">
        <v>12</v>
      </c>
      <c r="E85" s="23">
        <v>6773</v>
      </c>
      <c r="F85" s="23">
        <f>E85*0.15</f>
        <v>1015.9499999999999</v>
      </c>
      <c r="G85" s="23">
        <f t="shared" si="30"/>
        <v>7788.95</v>
      </c>
      <c r="H85" s="23"/>
      <c r="I85" s="23"/>
      <c r="J85" s="23"/>
      <c r="K85" s="23">
        <f t="shared" si="33"/>
        <v>2336.6849999999999</v>
      </c>
      <c r="L85" s="23">
        <f t="shared" ref="L85" si="35">20000-G85-K85</f>
        <v>9874.3649999999998</v>
      </c>
      <c r="M85" s="23"/>
      <c r="N85" s="23"/>
      <c r="O85" s="23"/>
      <c r="P85" s="23"/>
      <c r="Q85" s="23"/>
      <c r="R85" s="23">
        <f t="shared" si="32"/>
        <v>20000</v>
      </c>
      <c r="S85" s="25">
        <f t="shared" si="34"/>
        <v>60000</v>
      </c>
      <c r="T85" s="52"/>
    </row>
    <row r="86" spans="1:20" s="13" customFormat="1" x14ac:dyDescent="0.25">
      <c r="A86" s="20" t="s">
        <v>145</v>
      </c>
      <c r="B86" s="21" t="s">
        <v>146</v>
      </c>
      <c r="C86" s="22">
        <v>1</v>
      </c>
      <c r="D86" s="22">
        <v>11</v>
      </c>
      <c r="E86" s="23">
        <v>6294</v>
      </c>
      <c r="F86" s="22"/>
      <c r="G86" s="23">
        <f t="shared" si="30"/>
        <v>6294</v>
      </c>
      <c r="H86" s="23"/>
      <c r="I86" s="23"/>
      <c r="J86" s="23"/>
      <c r="K86" s="23">
        <f t="shared" si="33"/>
        <v>1888.1999999999998</v>
      </c>
      <c r="L86" s="23">
        <f>20000-G86-K86</f>
        <v>11817.8</v>
      </c>
      <c r="M86" s="23"/>
      <c r="N86" s="23"/>
      <c r="O86" s="23"/>
      <c r="P86" s="23"/>
      <c r="Q86" s="23"/>
      <c r="R86" s="23">
        <f>G86+K86+L86</f>
        <v>20000</v>
      </c>
      <c r="S86" s="25">
        <f t="shared" si="34"/>
        <v>60000</v>
      </c>
      <c r="T86" s="52"/>
    </row>
    <row r="87" spans="1:20" s="13" customFormat="1" x14ac:dyDescent="0.25">
      <c r="A87" s="20" t="s">
        <v>147</v>
      </c>
      <c r="B87" s="21" t="s">
        <v>148</v>
      </c>
      <c r="C87" s="22">
        <v>1.5</v>
      </c>
      <c r="D87" s="22">
        <v>11</v>
      </c>
      <c r="E87" s="23">
        <f>6294*C87</f>
        <v>9441</v>
      </c>
      <c r="F87" s="22"/>
      <c r="G87" s="23">
        <f t="shared" si="30"/>
        <v>9441</v>
      </c>
      <c r="H87" s="23"/>
      <c r="I87" s="23"/>
      <c r="J87" s="23"/>
      <c r="K87" s="23">
        <f t="shared" si="33"/>
        <v>2832.2999999999997</v>
      </c>
      <c r="L87" s="23">
        <f>20000*C87-G87-K87</f>
        <v>17726.7</v>
      </c>
      <c r="M87" s="23"/>
      <c r="N87" s="23"/>
      <c r="O87" s="23"/>
      <c r="P87" s="23"/>
      <c r="Q87" s="23"/>
      <c r="R87" s="23">
        <f t="shared" ref="R87:R102" si="36">G87+K87+L87</f>
        <v>30000</v>
      </c>
      <c r="S87" s="25">
        <f t="shared" si="34"/>
        <v>90000</v>
      </c>
      <c r="T87" s="52"/>
    </row>
    <row r="88" spans="1:20" s="13" customFormat="1" x14ac:dyDescent="0.25">
      <c r="A88" s="20" t="s">
        <v>149</v>
      </c>
      <c r="B88" s="21" t="s">
        <v>150</v>
      </c>
      <c r="C88" s="22">
        <v>0.5</v>
      </c>
      <c r="D88" s="22">
        <v>14</v>
      </c>
      <c r="E88" s="23">
        <f>7732*C88</f>
        <v>3866</v>
      </c>
      <c r="F88" s="22"/>
      <c r="G88" s="23">
        <f t="shared" si="30"/>
        <v>3866</v>
      </c>
      <c r="H88" s="23"/>
      <c r="I88" s="23"/>
      <c r="J88" s="23"/>
      <c r="K88" s="23">
        <f t="shared" si="33"/>
        <v>1159.8</v>
      </c>
      <c r="L88" s="23">
        <f>20000*C88-G88-K88</f>
        <v>4974.2</v>
      </c>
      <c r="M88" s="23"/>
      <c r="N88" s="23"/>
      <c r="O88" s="23"/>
      <c r="P88" s="23"/>
      <c r="Q88" s="23"/>
      <c r="R88" s="23">
        <f t="shared" si="36"/>
        <v>10000</v>
      </c>
      <c r="S88" s="25">
        <f t="shared" si="34"/>
        <v>30000</v>
      </c>
      <c r="T88" s="52"/>
    </row>
    <row r="89" spans="1:20" s="13" customFormat="1" x14ac:dyDescent="0.25">
      <c r="A89" s="20" t="s">
        <v>151</v>
      </c>
      <c r="B89" s="21" t="s">
        <v>104</v>
      </c>
      <c r="C89" s="22">
        <v>0.5</v>
      </c>
      <c r="D89" s="22">
        <v>11</v>
      </c>
      <c r="E89" s="23">
        <v>3147</v>
      </c>
      <c r="F89" s="23">
        <f>E89*0.15</f>
        <v>472.04999999999995</v>
      </c>
      <c r="G89" s="23">
        <f t="shared" si="30"/>
        <v>3619.05</v>
      </c>
      <c r="H89" s="23"/>
      <c r="I89" s="23"/>
      <c r="J89" s="23"/>
      <c r="K89" s="23">
        <f t="shared" si="33"/>
        <v>1085.7149999999999</v>
      </c>
      <c r="L89" s="23">
        <f>20000/2-G89-K89</f>
        <v>5295.2349999999997</v>
      </c>
      <c r="M89" s="23"/>
      <c r="N89" s="23"/>
      <c r="O89" s="23"/>
      <c r="P89" s="23"/>
      <c r="Q89" s="23"/>
      <c r="R89" s="23">
        <f t="shared" si="36"/>
        <v>10000</v>
      </c>
      <c r="S89" s="25">
        <f t="shared" si="34"/>
        <v>30000</v>
      </c>
      <c r="T89" s="52"/>
    </row>
    <row r="90" spans="1:20" s="13" customFormat="1" x14ac:dyDescent="0.25">
      <c r="A90" s="20" t="s">
        <v>152</v>
      </c>
      <c r="B90" s="21" t="s">
        <v>153</v>
      </c>
      <c r="C90" s="22">
        <v>2</v>
      </c>
      <c r="D90" s="22">
        <v>14</v>
      </c>
      <c r="E90" s="23">
        <f>7732*C90</f>
        <v>15464</v>
      </c>
      <c r="F90" s="23">
        <f>E90*0.15</f>
        <v>2319.6</v>
      </c>
      <c r="G90" s="23">
        <f t="shared" si="30"/>
        <v>17783.599999999999</v>
      </c>
      <c r="H90" s="23"/>
      <c r="I90" s="23"/>
      <c r="J90" s="23"/>
      <c r="K90" s="23">
        <f t="shared" si="33"/>
        <v>5335.079999999999</v>
      </c>
      <c r="L90" s="23">
        <f>20000*C90-G90-K90</f>
        <v>16881.320000000003</v>
      </c>
      <c r="M90" s="23"/>
      <c r="N90" s="23"/>
      <c r="O90" s="23"/>
      <c r="P90" s="23"/>
      <c r="Q90" s="23"/>
      <c r="R90" s="23">
        <f t="shared" si="36"/>
        <v>40000</v>
      </c>
      <c r="S90" s="25">
        <f t="shared" si="34"/>
        <v>120000</v>
      </c>
      <c r="T90" s="52"/>
    </row>
    <row r="91" spans="1:20" s="13" customFormat="1" x14ac:dyDescent="0.25">
      <c r="A91" s="20" t="s">
        <v>154</v>
      </c>
      <c r="B91" s="21" t="s">
        <v>155</v>
      </c>
      <c r="C91" s="22">
        <v>0.75</v>
      </c>
      <c r="D91" s="22">
        <v>13</v>
      </c>
      <c r="E91" s="23">
        <f>7253*C91</f>
        <v>5439.75</v>
      </c>
      <c r="F91" s="22"/>
      <c r="G91" s="23">
        <f t="shared" si="30"/>
        <v>5439.75</v>
      </c>
      <c r="H91" s="23"/>
      <c r="I91" s="23"/>
      <c r="J91" s="23"/>
      <c r="K91" s="23">
        <f t="shared" si="33"/>
        <v>1631.925</v>
      </c>
      <c r="L91" s="23">
        <f>20000*C91-G91-K91</f>
        <v>7928.3249999999998</v>
      </c>
      <c r="M91" s="23"/>
      <c r="N91" s="23"/>
      <c r="O91" s="23"/>
      <c r="P91" s="23"/>
      <c r="Q91" s="23"/>
      <c r="R91" s="23">
        <f t="shared" si="36"/>
        <v>15000</v>
      </c>
      <c r="S91" s="25">
        <f t="shared" si="34"/>
        <v>45000</v>
      </c>
      <c r="T91" s="52"/>
    </row>
    <row r="92" spans="1:20" x14ac:dyDescent="0.25">
      <c r="A92" s="20" t="s">
        <v>156</v>
      </c>
      <c r="B92" s="134" t="s">
        <v>339</v>
      </c>
      <c r="C92" s="135">
        <v>0.5</v>
      </c>
      <c r="D92" s="135">
        <v>11</v>
      </c>
      <c r="E92" s="136">
        <f>7732*C92</f>
        <v>3866</v>
      </c>
      <c r="F92" s="136"/>
      <c r="G92" s="136">
        <f t="shared" si="30"/>
        <v>3866</v>
      </c>
      <c r="H92" s="136"/>
      <c r="I92" s="136"/>
      <c r="J92" s="136"/>
      <c r="K92" s="136">
        <f t="shared" si="33"/>
        <v>1159.8</v>
      </c>
      <c r="L92" s="136">
        <f>20000*C92-G92-K92</f>
        <v>4974.2</v>
      </c>
      <c r="M92" s="136"/>
      <c r="N92" s="136"/>
      <c r="O92" s="136"/>
      <c r="P92" s="136"/>
      <c r="Q92" s="136"/>
      <c r="R92" s="136">
        <f>G92+K92+L92</f>
        <v>10000</v>
      </c>
      <c r="S92" s="25">
        <f t="shared" si="34"/>
        <v>30000</v>
      </c>
      <c r="T92" s="53"/>
    </row>
    <row r="93" spans="1:20" s="13" customFormat="1" x14ac:dyDescent="0.25">
      <c r="A93" s="20" t="s">
        <v>119</v>
      </c>
      <c r="B93" s="21" t="s">
        <v>158</v>
      </c>
      <c r="C93" s="22">
        <v>0.25</v>
      </c>
      <c r="D93" s="22">
        <v>14</v>
      </c>
      <c r="E93" s="23">
        <f>7732*C93</f>
        <v>1933</v>
      </c>
      <c r="F93" s="22"/>
      <c r="G93" s="23">
        <f>E93+F93</f>
        <v>1933</v>
      </c>
      <c r="H93" s="23"/>
      <c r="I93" s="23"/>
      <c r="J93" s="23"/>
      <c r="K93" s="23">
        <f t="shared" si="33"/>
        <v>579.9</v>
      </c>
      <c r="L93" s="23">
        <f>20000*C93-G93-K93</f>
        <v>2487.1</v>
      </c>
      <c r="M93" s="23"/>
      <c r="N93" s="23"/>
      <c r="O93" s="23"/>
      <c r="P93" s="23"/>
      <c r="Q93" s="23"/>
      <c r="R93" s="23">
        <f>G93+K93+L93</f>
        <v>5000</v>
      </c>
      <c r="S93" s="25">
        <f t="shared" si="34"/>
        <v>15000</v>
      </c>
      <c r="T93" s="52"/>
    </row>
    <row r="94" spans="1:20" s="13" customFormat="1" x14ac:dyDescent="0.25">
      <c r="A94" s="20" t="s">
        <v>159</v>
      </c>
      <c r="B94" s="21" t="s">
        <v>160</v>
      </c>
      <c r="C94" s="22">
        <v>0.5</v>
      </c>
      <c r="D94" s="22">
        <v>14</v>
      </c>
      <c r="E94" s="23">
        <v>3866</v>
      </c>
      <c r="F94" s="22"/>
      <c r="G94" s="23">
        <f t="shared" si="30"/>
        <v>3866</v>
      </c>
      <c r="H94" s="23"/>
      <c r="I94" s="23"/>
      <c r="J94" s="23"/>
      <c r="K94" s="23">
        <f t="shared" si="33"/>
        <v>1159.8</v>
      </c>
      <c r="L94" s="23">
        <f>20000/2-G94-K94</f>
        <v>4974.2</v>
      </c>
      <c r="M94" s="23"/>
      <c r="N94" s="23"/>
      <c r="O94" s="23"/>
      <c r="P94" s="23"/>
      <c r="Q94" s="23"/>
      <c r="R94" s="23">
        <f t="shared" si="36"/>
        <v>10000</v>
      </c>
      <c r="S94" s="25">
        <f t="shared" si="34"/>
        <v>30000</v>
      </c>
      <c r="T94" s="52"/>
    </row>
    <row r="95" spans="1:20" s="13" customFormat="1" x14ac:dyDescent="0.25">
      <c r="A95" s="20" t="s">
        <v>161</v>
      </c>
      <c r="B95" s="134" t="s">
        <v>162</v>
      </c>
      <c r="C95" s="135">
        <v>0.5</v>
      </c>
      <c r="D95" s="135">
        <v>11</v>
      </c>
      <c r="E95" s="136">
        <v>3147</v>
      </c>
      <c r="F95" s="135"/>
      <c r="G95" s="136">
        <f t="shared" si="30"/>
        <v>3147</v>
      </c>
      <c r="H95" s="136"/>
      <c r="I95" s="136"/>
      <c r="J95" s="136"/>
      <c r="K95" s="136">
        <f t="shared" si="33"/>
        <v>944.09999999999991</v>
      </c>
      <c r="L95" s="136">
        <f>20000/2-G95-K95</f>
        <v>5908.9</v>
      </c>
      <c r="M95" s="136"/>
      <c r="N95" s="136"/>
      <c r="O95" s="136"/>
      <c r="P95" s="136"/>
      <c r="Q95" s="136"/>
      <c r="R95" s="136">
        <f t="shared" si="36"/>
        <v>10000</v>
      </c>
      <c r="S95" s="25">
        <f t="shared" si="34"/>
        <v>30000</v>
      </c>
      <c r="T95" s="52"/>
    </row>
    <row r="96" spans="1:20" s="56" customFormat="1" x14ac:dyDescent="0.25">
      <c r="A96" s="20" t="s">
        <v>163</v>
      </c>
      <c r="B96" s="21" t="s">
        <v>164</v>
      </c>
      <c r="C96" s="22">
        <v>0.5</v>
      </c>
      <c r="D96" s="22">
        <v>14</v>
      </c>
      <c r="E96" s="23">
        <v>3866</v>
      </c>
      <c r="F96" s="22"/>
      <c r="G96" s="23">
        <f t="shared" si="30"/>
        <v>3866</v>
      </c>
      <c r="H96" s="23"/>
      <c r="I96" s="23"/>
      <c r="J96" s="23"/>
      <c r="K96" s="23">
        <f t="shared" si="33"/>
        <v>1159.8</v>
      </c>
      <c r="L96" s="23">
        <f>20000/2-G96-K96</f>
        <v>4974.2</v>
      </c>
      <c r="M96" s="23"/>
      <c r="N96" s="23"/>
      <c r="O96" s="23"/>
      <c r="P96" s="23"/>
      <c r="Q96" s="23"/>
      <c r="R96" s="23">
        <f t="shared" si="36"/>
        <v>10000</v>
      </c>
      <c r="S96" s="25">
        <f t="shared" si="34"/>
        <v>30000</v>
      </c>
    </row>
    <row r="97" spans="1:20" s="56" customFormat="1" x14ac:dyDescent="0.25">
      <c r="A97" s="20" t="s">
        <v>163</v>
      </c>
      <c r="B97" s="21" t="s">
        <v>332</v>
      </c>
      <c r="C97" s="22">
        <v>0.5</v>
      </c>
      <c r="D97" s="22">
        <v>14</v>
      </c>
      <c r="E97" s="23">
        <v>3866</v>
      </c>
      <c r="F97" s="22"/>
      <c r="G97" s="23">
        <f t="shared" si="30"/>
        <v>3866</v>
      </c>
      <c r="H97" s="23"/>
      <c r="I97" s="23"/>
      <c r="J97" s="23"/>
      <c r="K97" s="23">
        <f t="shared" si="33"/>
        <v>1159.8</v>
      </c>
      <c r="L97" s="23">
        <f>20000/2-G97-K97</f>
        <v>4974.2</v>
      </c>
      <c r="M97" s="23"/>
      <c r="N97" s="23"/>
      <c r="O97" s="23"/>
      <c r="P97" s="23"/>
      <c r="Q97" s="23"/>
      <c r="R97" s="23">
        <f t="shared" si="36"/>
        <v>10000</v>
      </c>
      <c r="S97" s="25">
        <f t="shared" si="34"/>
        <v>30000</v>
      </c>
    </row>
    <row r="98" spans="1:20" s="13" customFormat="1" x14ac:dyDescent="0.25">
      <c r="A98" s="20" t="s">
        <v>165</v>
      </c>
      <c r="B98" s="21" t="s">
        <v>166</v>
      </c>
      <c r="C98" s="22">
        <v>1</v>
      </c>
      <c r="D98" s="22">
        <v>14</v>
      </c>
      <c r="E98" s="23">
        <v>7732</v>
      </c>
      <c r="F98" s="22"/>
      <c r="G98" s="23">
        <f t="shared" si="30"/>
        <v>7732</v>
      </c>
      <c r="H98" s="23"/>
      <c r="I98" s="23"/>
      <c r="J98" s="23"/>
      <c r="K98" s="23">
        <f t="shared" si="33"/>
        <v>2319.6</v>
      </c>
      <c r="L98" s="23">
        <f t="shared" ref="L98" si="37">20000-G98-K98</f>
        <v>9948.4</v>
      </c>
      <c r="M98" s="23"/>
      <c r="N98" s="23"/>
      <c r="O98" s="23"/>
      <c r="P98" s="23"/>
      <c r="Q98" s="23"/>
      <c r="R98" s="23">
        <f t="shared" si="36"/>
        <v>20000</v>
      </c>
      <c r="S98" s="25">
        <f t="shared" si="34"/>
        <v>60000</v>
      </c>
      <c r="T98" s="52"/>
    </row>
    <row r="99" spans="1:20" x14ac:dyDescent="0.25">
      <c r="A99" s="20" t="s">
        <v>167</v>
      </c>
      <c r="B99" s="21" t="s">
        <v>112</v>
      </c>
      <c r="C99" s="22">
        <v>0.5</v>
      </c>
      <c r="D99" s="22">
        <v>10</v>
      </c>
      <c r="E99" s="23">
        <v>2907.5</v>
      </c>
      <c r="F99" s="22"/>
      <c r="G99" s="23">
        <f t="shared" si="30"/>
        <v>2907.5</v>
      </c>
      <c r="H99" s="23"/>
      <c r="I99" s="23"/>
      <c r="J99" s="23"/>
      <c r="K99" s="23">
        <f t="shared" si="33"/>
        <v>872.25</v>
      </c>
      <c r="L99" s="23">
        <f>20000/2-G99-K99</f>
        <v>6220.25</v>
      </c>
      <c r="M99" s="23"/>
      <c r="N99" s="23"/>
      <c r="O99" s="23"/>
      <c r="P99" s="23"/>
      <c r="Q99" s="23"/>
      <c r="R99" s="23">
        <f t="shared" si="36"/>
        <v>10000</v>
      </c>
      <c r="S99" s="25">
        <f t="shared" si="34"/>
        <v>30000</v>
      </c>
      <c r="T99" s="53"/>
    </row>
    <row r="100" spans="1:20" s="13" customFormat="1" x14ac:dyDescent="0.25">
      <c r="A100" s="20" t="s">
        <v>168</v>
      </c>
      <c r="B100" s="21" t="s">
        <v>169</v>
      </c>
      <c r="C100" s="22">
        <v>1.5</v>
      </c>
      <c r="D100" s="22">
        <v>14</v>
      </c>
      <c r="E100" s="23">
        <f>7732*C100</f>
        <v>11598</v>
      </c>
      <c r="F100" s="22"/>
      <c r="G100" s="23">
        <f t="shared" si="30"/>
        <v>11598</v>
      </c>
      <c r="H100" s="23"/>
      <c r="I100" s="23"/>
      <c r="J100" s="23"/>
      <c r="K100" s="23">
        <f t="shared" si="33"/>
        <v>3479.4</v>
      </c>
      <c r="L100" s="23">
        <f>20000*C100-G100-K100</f>
        <v>14922.6</v>
      </c>
      <c r="M100" s="23"/>
      <c r="N100" s="23"/>
      <c r="O100" s="23"/>
      <c r="P100" s="23"/>
      <c r="Q100" s="23"/>
      <c r="R100" s="23">
        <f t="shared" si="36"/>
        <v>30000</v>
      </c>
      <c r="S100" s="25">
        <f t="shared" si="34"/>
        <v>90000</v>
      </c>
      <c r="T100" s="52"/>
    </row>
    <row r="101" spans="1:20" x14ac:dyDescent="0.25">
      <c r="A101" s="20" t="s">
        <v>170</v>
      </c>
      <c r="B101" s="21" t="s">
        <v>171</v>
      </c>
      <c r="C101" s="22">
        <v>0.5</v>
      </c>
      <c r="D101" s="22">
        <v>13</v>
      </c>
      <c r="E101" s="23">
        <f>7523*C101</f>
        <v>3761.5</v>
      </c>
      <c r="F101" s="22"/>
      <c r="G101" s="23">
        <f t="shared" si="30"/>
        <v>3761.5</v>
      </c>
      <c r="H101" s="23"/>
      <c r="I101" s="23"/>
      <c r="J101" s="23"/>
      <c r="K101" s="23">
        <f t="shared" si="33"/>
        <v>1128.45</v>
      </c>
      <c r="L101" s="23">
        <f>20000/2-G101-K101</f>
        <v>5110.05</v>
      </c>
      <c r="M101" s="23"/>
      <c r="N101" s="23"/>
      <c r="O101" s="23"/>
      <c r="P101" s="23"/>
      <c r="Q101" s="23"/>
      <c r="R101" s="23">
        <f t="shared" si="36"/>
        <v>10000</v>
      </c>
      <c r="S101" s="25">
        <f t="shared" si="34"/>
        <v>30000</v>
      </c>
      <c r="T101" s="53"/>
    </row>
    <row r="102" spans="1:20" x14ac:dyDescent="0.25">
      <c r="A102" s="20" t="s">
        <v>172</v>
      </c>
      <c r="B102" s="134" t="s">
        <v>173</v>
      </c>
      <c r="C102" s="135">
        <v>0.25</v>
      </c>
      <c r="D102" s="135">
        <v>14</v>
      </c>
      <c r="E102" s="136">
        <f>7732*C102</f>
        <v>1933</v>
      </c>
      <c r="F102" s="135"/>
      <c r="G102" s="136">
        <f t="shared" si="30"/>
        <v>1933</v>
      </c>
      <c r="H102" s="136"/>
      <c r="I102" s="136"/>
      <c r="J102" s="136"/>
      <c r="K102" s="136">
        <f t="shared" si="33"/>
        <v>579.9</v>
      </c>
      <c r="L102" s="136">
        <f>20000/4-G102-K102</f>
        <v>2487.1</v>
      </c>
      <c r="M102" s="136"/>
      <c r="N102" s="136"/>
      <c r="O102" s="136"/>
      <c r="P102" s="136"/>
      <c r="Q102" s="136"/>
      <c r="R102" s="136">
        <f t="shared" si="36"/>
        <v>5000</v>
      </c>
      <c r="S102" s="25">
        <f t="shared" si="34"/>
        <v>15000</v>
      </c>
      <c r="T102" s="53"/>
    </row>
    <row r="103" spans="1:20" x14ac:dyDescent="0.25">
      <c r="A103" s="20" t="s">
        <v>174</v>
      </c>
      <c r="B103" s="21" t="s">
        <v>128</v>
      </c>
      <c r="C103" s="22">
        <v>0.5</v>
      </c>
      <c r="D103" s="22">
        <v>9</v>
      </c>
      <c r="E103" s="23">
        <f>5527*C103</f>
        <v>2763.5</v>
      </c>
      <c r="F103" s="22"/>
      <c r="G103" s="23">
        <f t="shared" si="30"/>
        <v>2763.5</v>
      </c>
      <c r="H103" s="23"/>
      <c r="I103" s="23"/>
      <c r="J103" s="23"/>
      <c r="K103" s="23">
        <f t="shared" si="33"/>
        <v>829.05</v>
      </c>
      <c r="L103" s="23">
        <f>13500*C103-G103-K103</f>
        <v>3157.45</v>
      </c>
      <c r="M103" s="23"/>
      <c r="N103" s="23"/>
      <c r="O103" s="23"/>
      <c r="P103" s="23"/>
      <c r="Q103" s="23"/>
      <c r="R103" s="23">
        <f>G103+K103+L103</f>
        <v>6750</v>
      </c>
      <c r="S103" s="25">
        <f t="shared" si="34"/>
        <v>20250</v>
      </c>
      <c r="T103" s="53"/>
    </row>
    <row r="104" spans="1:20" x14ac:dyDescent="0.25">
      <c r="A104" s="20" t="s">
        <v>175</v>
      </c>
      <c r="B104" s="21" t="s">
        <v>176</v>
      </c>
      <c r="C104" s="22">
        <v>1</v>
      </c>
      <c r="D104" s="22">
        <v>9</v>
      </c>
      <c r="E104" s="23">
        <v>5527</v>
      </c>
      <c r="F104" s="22">
        <f>E104*0.15</f>
        <v>829.05</v>
      </c>
      <c r="G104" s="23">
        <f t="shared" si="30"/>
        <v>6356.05</v>
      </c>
      <c r="H104" s="23"/>
      <c r="I104" s="23"/>
      <c r="J104" s="23"/>
      <c r="K104" s="23">
        <f t="shared" si="33"/>
        <v>1906.8150000000001</v>
      </c>
      <c r="L104" s="23">
        <f>13500-G104-K104</f>
        <v>5237.1350000000002</v>
      </c>
      <c r="M104" s="23"/>
      <c r="N104" s="23"/>
      <c r="O104" s="23"/>
      <c r="P104" s="23"/>
      <c r="Q104" s="23"/>
      <c r="R104" s="23">
        <f>G104+K104+L104</f>
        <v>13500</v>
      </c>
      <c r="S104" s="25">
        <f t="shared" si="34"/>
        <v>40500</v>
      </c>
      <c r="T104" s="53"/>
    </row>
    <row r="105" spans="1:20" x14ac:dyDescent="0.25">
      <c r="A105" s="20" t="s">
        <v>177</v>
      </c>
      <c r="B105" s="21" t="s">
        <v>178</v>
      </c>
      <c r="C105" s="22">
        <v>1.5</v>
      </c>
      <c r="D105" s="22">
        <v>7</v>
      </c>
      <c r="E105" s="23">
        <v>7380</v>
      </c>
      <c r="F105" s="22"/>
      <c r="G105" s="23">
        <f t="shared" si="30"/>
        <v>7380</v>
      </c>
      <c r="H105" s="23"/>
      <c r="I105" s="23">
        <f>G105*0.1</f>
        <v>738</v>
      </c>
      <c r="J105" s="23"/>
      <c r="K105" s="23">
        <f t="shared" si="33"/>
        <v>2214</v>
      </c>
      <c r="L105" s="23">
        <f>13500*1.5-G105-I105-K105</f>
        <v>9918</v>
      </c>
      <c r="M105" s="23"/>
      <c r="N105" s="23"/>
      <c r="O105" s="23"/>
      <c r="P105" s="23"/>
      <c r="Q105" s="23"/>
      <c r="R105" s="23">
        <f>G105+I105+K105+L105</f>
        <v>20250</v>
      </c>
      <c r="S105" s="25">
        <f t="shared" si="34"/>
        <v>60750</v>
      </c>
      <c r="T105" s="53"/>
    </row>
    <row r="106" spans="1:20" x14ac:dyDescent="0.25">
      <c r="A106" s="20" t="s">
        <v>179</v>
      </c>
      <c r="B106" s="21" t="s">
        <v>91</v>
      </c>
      <c r="C106" s="22">
        <v>6</v>
      </c>
      <c r="D106" s="22">
        <v>9</v>
      </c>
      <c r="E106" s="23">
        <f>5527*C106</f>
        <v>33162</v>
      </c>
      <c r="F106" s="22"/>
      <c r="G106" s="23">
        <f t="shared" si="30"/>
        <v>33162</v>
      </c>
      <c r="H106" s="23"/>
      <c r="I106" s="23"/>
      <c r="J106" s="23"/>
      <c r="K106" s="23">
        <f t="shared" si="33"/>
        <v>9948.6</v>
      </c>
      <c r="L106" s="23">
        <f>13500*C106-G106-K106</f>
        <v>37889.4</v>
      </c>
      <c r="M106" s="23"/>
      <c r="N106" s="23"/>
      <c r="O106" s="23"/>
      <c r="P106" s="23"/>
      <c r="Q106" s="23"/>
      <c r="R106" s="23">
        <f t="shared" ref="R106" si="38">G106+K106+L106</f>
        <v>81000</v>
      </c>
      <c r="S106" s="25">
        <f t="shared" si="34"/>
        <v>243000</v>
      </c>
      <c r="T106" s="53"/>
    </row>
    <row r="107" spans="1:20" x14ac:dyDescent="0.25">
      <c r="A107" s="20" t="s">
        <v>181</v>
      </c>
      <c r="B107" s="21" t="s">
        <v>180</v>
      </c>
      <c r="C107" s="22">
        <v>1</v>
      </c>
      <c r="D107" s="22">
        <v>9</v>
      </c>
      <c r="E107" s="23">
        <f>5527*C107</f>
        <v>5527</v>
      </c>
      <c r="F107" s="22"/>
      <c r="G107" s="23">
        <f t="shared" si="30"/>
        <v>5527</v>
      </c>
      <c r="H107" s="23"/>
      <c r="I107" s="23">
        <f>G107*0.1</f>
        <v>552.70000000000005</v>
      </c>
      <c r="J107" s="23"/>
      <c r="K107" s="23">
        <f t="shared" si="33"/>
        <v>1658.1</v>
      </c>
      <c r="L107" s="23">
        <f>13500-G107-K107-I107</f>
        <v>5762.2</v>
      </c>
      <c r="M107" s="23"/>
      <c r="N107" s="23"/>
      <c r="O107" s="23"/>
      <c r="P107" s="23"/>
      <c r="Q107" s="23"/>
      <c r="R107" s="23">
        <f>G107+K107+L107+I107</f>
        <v>13500</v>
      </c>
      <c r="S107" s="25">
        <f t="shared" si="34"/>
        <v>40500</v>
      </c>
      <c r="T107" s="53"/>
    </row>
    <row r="108" spans="1:20" x14ac:dyDescent="0.25">
      <c r="A108" s="20" t="s">
        <v>183</v>
      </c>
      <c r="B108" s="21" t="s">
        <v>182</v>
      </c>
      <c r="C108" s="22">
        <v>2</v>
      </c>
      <c r="D108" s="22">
        <v>9</v>
      </c>
      <c r="E108" s="23">
        <f>5527*C108</f>
        <v>11054</v>
      </c>
      <c r="F108" s="22">
        <f>E108*0.15</f>
        <v>1658.1</v>
      </c>
      <c r="G108" s="23">
        <f t="shared" si="30"/>
        <v>12712.1</v>
      </c>
      <c r="H108" s="23"/>
      <c r="I108" s="23"/>
      <c r="J108" s="23"/>
      <c r="K108" s="23">
        <f t="shared" si="33"/>
        <v>3813.63</v>
      </c>
      <c r="L108" s="23">
        <f>13500*C108-G108-K108</f>
        <v>10474.27</v>
      </c>
      <c r="M108" s="23"/>
      <c r="N108" s="23"/>
      <c r="O108" s="23"/>
      <c r="P108" s="23"/>
      <c r="Q108" s="23"/>
      <c r="R108" s="23">
        <f t="shared" ref="R108" si="39">G108+K108+L108</f>
        <v>27000</v>
      </c>
      <c r="S108" s="25">
        <f t="shared" si="34"/>
        <v>81000</v>
      </c>
      <c r="T108" s="53"/>
    </row>
    <row r="109" spans="1:20" s="38" customFormat="1" x14ac:dyDescent="0.25">
      <c r="A109" s="20" t="s">
        <v>185</v>
      </c>
      <c r="B109" s="21" t="s">
        <v>184</v>
      </c>
      <c r="C109" s="22">
        <v>0.5</v>
      </c>
      <c r="D109" s="22">
        <v>4</v>
      </c>
      <c r="E109" s="23">
        <v>2029</v>
      </c>
      <c r="F109" s="22"/>
      <c r="G109" s="23">
        <f>E109+F109</f>
        <v>2029</v>
      </c>
      <c r="H109" s="23"/>
      <c r="I109" s="23"/>
      <c r="J109" s="23"/>
      <c r="K109" s="23"/>
      <c r="L109" s="23"/>
      <c r="M109" s="23"/>
      <c r="N109" s="23"/>
      <c r="O109" s="23"/>
      <c r="P109" s="23">
        <f>8000/2-G109</f>
        <v>1971</v>
      </c>
      <c r="Q109" s="23"/>
      <c r="R109" s="23">
        <f>G109+I109+P109</f>
        <v>4000</v>
      </c>
      <c r="S109" s="25">
        <f t="shared" si="34"/>
        <v>12000</v>
      </c>
      <c r="T109" s="46"/>
    </row>
    <row r="110" spans="1:20" x14ac:dyDescent="0.25">
      <c r="A110" s="20" t="s">
        <v>188</v>
      </c>
      <c r="B110" s="21" t="s">
        <v>134</v>
      </c>
      <c r="C110" s="22">
        <v>5</v>
      </c>
      <c r="D110" s="22">
        <v>3</v>
      </c>
      <c r="E110" s="23">
        <f>3770*C110</f>
        <v>18850</v>
      </c>
      <c r="F110" s="22"/>
      <c r="G110" s="23">
        <f t="shared" si="30"/>
        <v>18850</v>
      </c>
      <c r="H110" s="23"/>
      <c r="I110" s="23">
        <f>G110*0.1</f>
        <v>1885</v>
      </c>
      <c r="J110" s="23"/>
      <c r="K110" s="23"/>
      <c r="L110" s="23"/>
      <c r="M110" s="23"/>
      <c r="N110" s="23"/>
      <c r="O110" s="23"/>
      <c r="P110" s="23">
        <f>8000*C110-G110</f>
        <v>21150</v>
      </c>
      <c r="Q110" s="23"/>
      <c r="R110" s="23">
        <f>G110+I110+P110</f>
        <v>41885</v>
      </c>
      <c r="S110" s="25">
        <f t="shared" si="34"/>
        <v>125655</v>
      </c>
      <c r="T110" s="53"/>
    </row>
    <row r="111" spans="1:20" s="27" customFormat="1" ht="23.4" customHeight="1" thickBot="1" x14ac:dyDescent="0.3">
      <c r="A111" s="112"/>
      <c r="B111" s="113" t="s">
        <v>59</v>
      </c>
      <c r="C111" s="114">
        <f>SUM(C83:C110)</f>
        <v>33.75</v>
      </c>
      <c r="D111" s="114"/>
      <c r="E111" s="115">
        <f>SUM(E83:E110)</f>
        <v>203564.25</v>
      </c>
      <c r="F111" s="115">
        <f>SUM(F83:F110)</f>
        <v>7988</v>
      </c>
      <c r="G111" s="115">
        <f>SUM(G83:G110)</f>
        <v>211552.25</v>
      </c>
      <c r="H111" s="115"/>
      <c r="I111" s="115">
        <f>SUM(I83:I110)</f>
        <v>3175.7</v>
      </c>
      <c r="J111" s="115"/>
      <c r="K111" s="115">
        <f>SUM(K83:K110)</f>
        <v>57201.974999999991</v>
      </c>
      <c r="L111" s="115">
        <f>SUM(L83:L110)</f>
        <v>237834.07500000001</v>
      </c>
      <c r="M111" s="115"/>
      <c r="N111" s="115"/>
      <c r="O111" s="115"/>
      <c r="P111" s="115">
        <f>SUM(P109:P110)</f>
        <v>23121</v>
      </c>
      <c r="Q111" s="115"/>
      <c r="R111" s="115">
        <f>SUM(R83:R110)</f>
        <v>532885</v>
      </c>
      <c r="S111" s="116">
        <f>SUM(S83:S110)</f>
        <v>1598655</v>
      </c>
      <c r="T111" s="54"/>
    </row>
    <row r="112" spans="1:20" ht="16.2" customHeight="1" x14ac:dyDescent="0.25">
      <c r="A112" s="15"/>
      <c r="B112" s="86" t="s">
        <v>187</v>
      </c>
      <c r="C112" s="85"/>
      <c r="D112" s="85"/>
      <c r="E112" s="94"/>
      <c r="F112" s="85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110"/>
      <c r="T112" s="53"/>
    </row>
    <row r="113" spans="1:20" x14ac:dyDescent="0.25">
      <c r="A113" s="20" t="s">
        <v>190</v>
      </c>
      <c r="B113" s="21" t="s">
        <v>189</v>
      </c>
      <c r="C113" s="22">
        <v>0.75</v>
      </c>
      <c r="D113" s="22">
        <v>10</v>
      </c>
      <c r="E113" s="23">
        <f>5815*C113</f>
        <v>4361.25</v>
      </c>
      <c r="F113" s="22">
        <f>E113*0.15</f>
        <v>654.1875</v>
      </c>
      <c r="G113" s="23">
        <f t="shared" ref="G113:G117" si="40">E113+F113</f>
        <v>5015.4375</v>
      </c>
      <c r="H113" s="23"/>
      <c r="I113" s="23">
        <f>G113*0.1</f>
        <v>501.54375000000005</v>
      </c>
      <c r="J113" s="23"/>
      <c r="K113" s="23">
        <f>G113*0.3</f>
        <v>1504.6312499999999</v>
      </c>
      <c r="L113" s="23">
        <f>20000*C113-G113-I113-K113</f>
        <v>7978.3874999999989</v>
      </c>
      <c r="M113" s="23"/>
      <c r="N113" s="23"/>
      <c r="O113" s="23"/>
      <c r="P113" s="23"/>
      <c r="Q113" s="23"/>
      <c r="R113" s="23">
        <f>G113+I113+K113+L113</f>
        <v>14999.999999999998</v>
      </c>
      <c r="S113" s="25">
        <f>R113*3</f>
        <v>44999.999999999993</v>
      </c>
      <c r="T113" s="53"/>
    </row>
    <row r="114" spans="1:20" x14ac:dyDescent="0.25">
      <c r="A114" s="20" t="s">
        <v>192</v>
      </c>
      <c r="B114" s="21" t="s">
        <v>191</v>
      </c>
      <c r="C114" s="22">
        <v>1</v>
      </c>
      <c r="D114" s="22">
        <v>9</v>
      </c>
      <c r="E114" s="23">
        <v>5527</v>
      </c>
      <c r="F114" s="22">
        <f>E114*0.15</f>
        <v>829.05</v>
      </c>
      <c r="G114" s="23">
        <f t="shared" si="40"/>
        <v>6356.05</v>
      </c>
      <c r="H114" s="23"/>
      <c r="I114" s="23"/>
      <c r="J114" s="23"/>
      <c r="K114" s="23">
        <f t="shared" ref="K114:K115" si="41">G114*0.3</f>
        <v>1906.8150000000001</v>
      </c>
      <c r="L114" s="23">
        <f>20000-G114-K114</f>
        <v>11737.135</v>
      </c>
      <c r="M114" s="23"/>
      <c r="N114" s="23"/>
      <c r="O114" s="23"/>
      <c r="P114" s="23"/>
      <c r="Q114" s="23"/>
      <c r="R114" s="23">
        <f>G114+I114+K114+L114</f>
        <v>20000</v>
      </c>
      <c r="S114" s="25">
        <f t="shared" ref="S114:S116" si="42">R114*3</f>
        <v>60000</v>
      </c>
      <c r="T114" s="53"/>
    </row>
    <row r="115" spans="1:20" x14ac:dyDescent="0.25">
      <c r="A115" s="20" t="s">
        <v>194</v>
      </c>
      <c r="B115" s="21" t="s">
        <v>193</v>
      </c>
      <c r="C115" s="22">
        <v>3</v>
      </c>
      <c r="D115" s="22">
        <v>10</v>
      </c>
      <c r="E115" s="23">
        <f>5815*C115</f>
        <v>17445</v>
      </c>
      <c r="F115" s="22">
        <f>E115*0.15</f>
        <v>2616.75</v>
      </c>
      <c r="G115" s="23">
        <f t="shared" si="40"/>
        <v>20061.75</v>
      </c>
      <c r="H115" s="23"/>
      <c r="I115" s="23">
        <f>G115*0.1</f>
        <v>2006.1750000000002</v>
      </c>
      <c r="J115" s="23"/>
      <c r="K115" s="23">
        <f t="shared" si="41"/>
        <v>6018.5249999999996</v>
      </c>
      <c r="L115" s="23">
        <f>13500*C115-G115-I115-K115</f>
        <v>12413.550000000001</v>
      </c>
      <c r="M115" s="23"/>
      <c r="N115" s="23"/>
      <c r="O115" s="23"/>
      <c r="P115" s="23"/>
      <c r="Q115" s="23"/>
      <c r="R115" s="23">
        <f>G115+I115+K115+L115</f>
        <v>40500</v>
      </c>
      <c r="S115" s="25">
        <f t="shared" si="42"/>
        <v>121500</v>
      </c>
      <c r="T115" s="53"/>
    </row>
    <row r="116" spans="1:20" s="38" customFormat="1" x14ac:dyDescent="0.25">
      <c r="A116" s="20" t="s">
        <v>197</v>
      </c>
      <c r="B116" s="21" t="s">
        <v>186</v>
      </c>
      <c r="C116" s="22">
        <v>1</v>
      </c>
      <c r="D116" s="22">
        <v>3</v>
      </c>
      <c r="E116" s="23">
        <f>3770*C116</f>
        <v>3770</v>
      </c>
      <c r="F116" s="22">
        <f>E116*0.15</f>
        <v>565.5</v>
      </c>
      <c r="G116" s="23">
        <f t="shared" si="40"/>
        <v>4335.5</v>
      </c>
      <c r="H116" s="23"/>
      <c r="I116" s="23">
        <f>G116*0.1</f>
        <v>433.55</v>
      </c>
      <c r="J116" s="23"/>
      <c r="K116" s="23" t="s">
        <v>195</v>
      </c>
      <c r="L116" s="23"/>
      <c r="M116" s="23"/>
      <c r="N116" s="23"/>
      <c r="O116" s="23"/>
      <c r="P116" s="23">
        <f>8000*C116-E116</f>
        <v>4230</v>
      </c>
      <c r="Q116" s="23"/>
      <c r="R116" s="23">
        <f>G116+I116+P116</f>
        <v>8999.0499999999993</v>
      </c>
      <c r="S116" s="25">
        <f t="shared" si="42"/>
        <v>26997.149999999998</v>
      </c>
      <c r="T116" s="46"/>
    </row>
    <row r="117" spans="1:20" s="27" customFormat="1" ht="25.2" customHeight="1" x14ac:dyDescent="0.25">
      <c r="A117" s="112"/>
      <c r="B117" s="113" t="s">
        <v>59</v>
      </c>
      <c r="C117" s="114">
        <f>C113+C114+C115+C116</f>
        <v>5.75</v>
      </c>
      <c r="D117" s="114"/>
      <c r="E117" s="115">
        <f>SUM(E113:E116)</f>
        <v>31103.25</v>
      </c>
      <c r="F117" s="114">
        <f>SUM(F113:F116)</f>
        <v>4665.4875000000002</v>
      </c>
      <c r="G117" s="115">
        <f t="shared" si="40"/>
        <v>35768.737500000003</v>
      </c>
      <c r="H117" s="115"/>
      <c r="I117" s="115">
        <f>SUM(I113:I116)</f>
        <v>2941.2687500000002</v>
      </c>
      <c r="J117" s="115"/>
      <c r="K117" s="115">
        <f>SUM(K113:K116)</f>
        <v>9429.9712499999987</v>
      </c>
      <c r="L117" s="115">
        <f>SUM(L113:L116)</f>
        <v>32129.072500000002</v>
      </c>
      <c r="M117" s="115"/>
      <c r="N117" s="115"/>
      <c r="O117" s="115"/>
      <c r="P117" s="115">
        <f>SUM(P113:P116)</f>
        <v>4230</v>
      </c>
      <c r="Q117" s="115"/>
      <c r="R117" s="115">
        <f>SUM(R113:R116)</f>
        <v>84499.05</v>
      </c>
      <c r="S117" s="31">
        <f t="shared" ref="S117" si="43">R117*4</f>
        <v>337996.2</v>
      </c>
      <c r="T117" s="54"/>
    </row>
    <row r="118" spans="1:20" s="27" customFormat="1" ht="21.6" customHeight="1" x14ac:dyDescent="0.25">
      <c r="A118" s="125"/>
      <c r="B118" s="126" t="s">
        <v>326</v>
      </c>
      <c r="C118" s="126"/>
      <c r="D118" s="126"/>
      <c r="E118" s="127"/>
      <c r="F118" s="126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25"/>
      <c r="T118" s="54"/>
    </row>
    <row r="119" spans="1:20" s="27" customFormat="1" ht="15" customHeight="1" x14ac:dyDescent="0.25">
      <c r="A119" s="128" t="s">
        <v>198</v>
      </c>
      <c r="B119" s="129" t="s">
        <v>323</v>
      </c>
      <c r="C119" s="130">
        <v>0.25</v>
      </c>
      <c r="D119" s="130">
        <v>10</v>
      </c>
      <c r="E119" s="131">
        <f>5815*C119</f>
        <v>1453.75</v>
      </c>
      <c r="F119" s="130">
        <f>E119*0.15</f>
        <v>218.0625</v>
      </c>
      <c r="G119" s="131">
        <f>E119+F119</f>
        <v>1671.8125</v>
      </c>
      <c r="H119" s="131"/>
      <c r="I119" s="131">
        <f>G119*0.1</f>
        <v>167.18125000000001</v>
      </c>
      <c r="J119" s="131"/>
      <c r="K119" s="131">
        <f>G119*0.3</f>
        <v>501.54374999999999</v>
      </c>
      <c r="L119" s="131">
        <f>20000*C119-G119-I119-K119</f>
        <v>2659.4625000000001</v>
      </c>
      <c r="M119" s="131"/>
      <c r="N119" s="131"/>
      <c r="O119" s="131"/>
      <c r="P119" s="131"/>
      <c r="Q119" s="131"/>
      <c r="R119" s="131">
        <f>L119+K119+I119+G119</f>
        <v>5000</v>
      </c>
      <c r="S119" s="25">
        <f>R119*3</f>
        <v>15000</v>
      </c>
      <c r="T119" s="54"/>
    </row>
    <row r="120" spans="1:20" s="27" customFormat="1" ht="13.2" customHeight="1" x14ac:dyDescent="0.25">
      <c r="A120" s="128" t="s">
        <v>199</v>
      </c>
      <c r="B120" s="129" t="s">
        <v>324</v>
      </c>
      <c r="C120" s="130">
        <v>0.25</v>
      </c>
      <c r="D120" s="130">
        <v>10</v>
      </c>
      <c r="E120" s="131">
        <f>5815*C120</f>
        <v>1453.75</v>
      </c>
      <c r="F120" s="130">
        <f>E120*0.15</f>
        <v>218.0625</v>
      </c>
      <c r="G120" s="131">
        <f>E120+F120</f>
        <v>1671.8125</v>
      </c>
      <c r="H120" s="131"/>
      <c r="I120" s="131">
        <f>G120*0.1</f>
        <v>167.18125000000001</v>
      </c>
      <c r="J120" s="131"/>
      <c r="K120" s="131">
        <f>G120*0.3</f>
        <v>501.54374999999999</v>
      </c>
      <c r="L120" s="131">
        <f>20000*C120-G120-I120-K120</f>
        <v>2659.4625000000001</v>
      </c>
      <c r="M120" s="131"/>
      <c r="N120" s="131"/>
      <c r="O120" s="131"/>
      <c r="P120" s="131"/>
      <c r="Q120" s="131"/>
      <c r="R120" s="131">
        <f t="shared" ref="R120" si="44">L120+K120+I120+G120</f>
        <v>5000</v>
      </c>
      <c r="S120" s="25">
        <f>R120*3</f>
        <v>15000</v>
      </c>
      <c r="T120" s="54"/>
    </row>
    <row r="121" spans="1:20" s="27" customFormat="1" ht="21.6" customHeight="1" x14ac:dyDescent="0.25">
      <c r="A121" s="128"/>
      <c r="B121" s="132" t="s">
        <v>59</v>
      </c>
      <c r="C121" s="126">
        <v>0.5</v>
      </c>
      <c r="D121" s="126"/>
      <c r="E121" s="127">
        <f>SUM(E119:E120)</f>
        <v>2907.5</v>
      </c>
      <c r="F121" s="126">
        <f>SUM(F119:F120)</f>
        <v>436.125</v>
      </c>
      <c r="G121" s="127">
        <f>SUM(G119:G120)</f>
        <v>3343.625</v>
      </c>
      <c r="H121" s="127"/>
      <c r="I121" s="127">
        <f>SUM(I119:I120)</f>
        <v>334.36250000000001</v>
      </c>
      <c r="J121" s="127"/>
      <c r="K121" s="127">
        <f>SUM(K119:K120)</f>
        <v>1003.0875</v>
      </c>
      <c r="L121" s="127">
        <f>SUM(L119:L120)</f>
        <v>5318.9250000000002</v>
      </c>
      <c r="M121" s="127"/>
      <c r="N121" s="127"/>
      <c r="O121" s="127"/>
      <c r="P121" s="127"/>
      <c r="Q121" s="127"/>
      <c r="R121" s="127">
        <f>SUM(R119:R120)</f>
        <v>10000</v>
      </c>
      <c r="S121" s="127">
        <f>SUM(S119:S120)</f>
        <v>30000</v>
      </c>
      <c r="T121" s="54"/>
    </row>
    <row r="122" spans="1:20" ht="23.4" customHeight="1" x14ac:dyDescent="0.25">
      <c r="A122" s="133"/>
      <c r="B122" s="29" t="s">
        <v>327</v>
      </c>
      <c r="C122" s="29"/>
      <c r="D122" s="29"/>
      <c r="E122" s="30"/>
      <c r="F122" s="29"/>
      <c r="G122" s="23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53"/>
    </row>
    <row r="123" spans="1:20" ht="14.4" customHeight="1" x14ac:dyDescent="0.25">
      <c r="A123" s="20" t="s">
        <v>198</v>
      </c>
      <c r="B123" s="21" t="s">
        <v>110</v>
      </c>
      <c r="C123" s="22">
        <v>0.25</v>
      </c>
      <c r="D123" s="22">
        <v>10</v>
      </c>
      <c r="E123" s="23">
        <f>5815*C123</f>
        <v>1453.75</v>
      </c>
      <c r="F123" s="22">
        <f t="shared" ref="F123:F126" si="45">E123*0.15</f>
        <v>218.0625</v>
      </c>
      <c r="G123" s="23">
        <f t="shared" si="20"/>
        <v>1671.8125</v>
      </c>
      <c r="H123" s="23"/>
      <c r="I123" s="23"/>
      <c r="J123" s="23"/>
      <c r="K123" s="23">
        <f>G123*0.3</f>
        <v>501.54374999999999</v>
      </c>
      <c r="L123" s="23">
        <f>20000*C123-G123-K123</f>
        <v>2826.6437500000002</v>
      </c>
      <c r="M123" s="23"/>
      <c r="N123" s="23"/>
      <c r="O123" s="23"/>
      <c r="P123" s="23"/>
      <c r="Q123" s="23"/>
      <c r="R123" s="23">
        <f t="shared" ref="R123:R124" si="46">G123+K123+L123</f>
        <v>5000</v>
      </c>
      <c r="S123" s="25">
        <f>R123*3</f>
        <v>15000</v>
      </c>
      <c r="T123" s="53"/>
    </row>
    <row r="124" spans="1:20" x14ac:dyDescent="0.25">
      <c r="A124" s="20" t="s">
        <v>199</v>
      </c>
      <c r="B124" s="21" t="s">
        <v>104</v>
      </c>
      <c r="C124" s="22">
        <v>0.25</v>
      </c>
      <c r="D124" s="22">
        <v>10</v>
      </c>
      <c r="E124" s="23">
        <f>5815*C124</f>
        <v>1453.75</v>
      </c>
      <c r="F124" s="22">
        <f t="shared" si="45"/>
        <v>218.0625</v>
      </c>
      <c r="G124" s="23">
        <f t="shared" si="20"/>
        <v>1671.8125</v>
      </c>
      <c r="H124" s="23"/>
      <c r="I124" s="23"/>
      <c r="J124" s="23"/>
      <c r="K124" s="23">
        <f t="shared" ref="K124:K125" si="47">G124*0.3</f>
        <v>501.54374999999999</v>
      </c>
      <c r="L124" s="23">
        <f>20000*C124-G124-K124</f>
        <v>2826.6437500000002</v>
      </c>
      <c r="M124" s="23"/>
      <c r="N124" s="23"/>
      <c r="O124" s="23"/>
      <c r="P124" s="23"/>
      <c r="Q124" s="23"/>
      <c r="R124" s="23">
        <f t="shared" si="46"/>
        <v>5000</v>
      </c>
      <c r="S124" s="25">
        <f t="shared" ref="S124:S126" si="48">R124*3</f>
        <v>15000</v>
      </c>
      <c r="T124" s="53"/>
    </row>
    <row r="125" spans="1:20" x14ac:dyDescent="0.25">
      <c r="A125" s="20" t="s">
        <v>200</v>
      </c>
      <c r="B125" s="21" t="s">
        <v>130</v>
      </c>
      <c r="C125" s="22">
        <v>3.5</v>
      </c>
      <c r="D125" s="22">
        <v>9</v>
      </c>
      <c r="E125" s="23">
        <f>5527*C125</f>
        <v>19344.5</v>
      </c>
      <c r="F125" s="22">
        <f t="shared" si="45"/>
        <v>2901.6749999999997</v>
      </c>
      <c r="G125" s="23">
        <f t="shared" si="20"/>
        <v>22246.174999999999</v>
      </c>
      <c r="H125" s="23"/>
      <c r="I125" s="23">
        <f t="shared" ref="I125:I126" si="49">G125*0.1</f>
        <v>2224.6174999999998</v>
      </c>
      <c r="J125" s="23"/>
      <c r="K125" s="23">
        <f t="shared" si="47"/>
        <v>6673.8525</v>
      </c>
      <c r="L125" s="23">
        <f>13500*C125-G125-K125-I125-N125</f>
        <v>13839.455</v>
      </c>
      <c r="M125" s="23"/>
      <c r="N125" s="23">
        <f>647.4*C125</f>
        <v>2265.9</v>
      </c>
      <c r="O125" s="23"/>
      <c r="P125" s="23"/>
      <c r="Q125" s="23"/>
      <c r="R125" s="23">
        <f>G125+K125+L125+I125+N125</f>
        <v>47250</v>
      </c>
      <c r="S125" s="25">
        <f t="shared" si="48"/>
        <v>141750</v>
      </c>
      <c r="T125" s="53"/>
    </row>
    <row r="126" spans="1:20" s="13" customFormat="1" x14ac:dyDescent="0.2">
      <c r="A126" s="28" t="s">
        <v>202</v>
      </c>
      <c r="B126" s="21" t="s">
        <v>134</v>
      </c>
      <c r="C126" s="22">
        <v>2.5</v>
      </c>
      <c r="D126" s="22">
        <v>4</v>
      </c>
      <c r="E126" s="23">
        <f>4058*C126</f>
        <v>10145</v>
      </c>
      <c r="F126" s="22">
        <f t="shared" si="45"/>
        <v>1521.75</v>
      </c>
      <c r="G126" s="23">
        <f t="shared" si="20"/>
        <v>11666.75</v>
      </c>
      <c r="H126" s="23"/>
      <c r="I126" s="23">
        <f t="shared" si="49"/>
        <v>1166.675</v>
      </c>
      <c r="J126" s="23"/>
      <c r="K126" s="23"/>
      <c r="L126" s="23"/>
      <c r="M126" s="23"/>
      <c r="N126" s="23">
        <f>475.33*C126</f>
        <v>1188.325</v>
      </c>
      <c r="O126" s="23"/>
      <c r="P126" s="23">
        <f>8000*C126-E126</f>
        <v>9855</v>
      </c>
      <c r="Q126" s="23"/>
      <c r="R126" s="23">
        <f>G126+I126+P126+N126</f>
        <v>23876.75</v>
      </c>
      <c r="S126" s="25">
        <f t="shared" si="48"/>
        <v>71630.25</v>
      </c>
      <c r="T126" s="52"/>
    </row>
    <row r="127" spans="1:20" s="27" customFormat="1" ht="21.6" customHeight="1" thickBot="1" x14ac:dyDescent="0.3">
      <c r="A127" s="64"/>
      <c r="B127" s="117" t="s">
        <v>59</v>
      </c>
      <c r="C127" s="34">
        <f>SUM(C123:C126)</f>
        <v>6.5</v>
      </c>
      <c r="D127" s="34"/>
      <c r="E127" s="35">
        <f>SUM(E123:E126)</f>
        <v>32397</v>
      </c>
      <c r="F127" s="34">
        <f>SUM(F123:F126)</f>
        <v>4859.5499999999993</v>
      </c>
      <c r="G127" s="35">
        <f>SUM(G123:G126)</f>
        <v>37256.550000000003</v>
      </c>
      <c r="H127" s="35"/>
      <c r="I127" s="35">
        <f>SUM(I123:I126)</f>
        <v>3391.2924999999996</v>
      </c>
      <c r="J127" s="35"/>
      <c r="K127" s="35">
        <f>SUM(K123:K126)</f>
        <v>7676.94</v>
      </c>
      <c r="L127" s="35">
        <f>SUM(L123:L126)</f>
        <v>19492.7425</v>
      </c>
      <c r="M127" s="35"/>
      <c r="N127" s="35">
        <f>SUM(N123:N126)</f>
        <v>3454.2250000000004</v>
      </c>
      <c r="O127" s="35"/>
      <c r="P127" s="35">
        <f>SUM(P123:P126)</f>
        <v>9855</v>
      </c>
      <c r="Q127" s="35"/>
      <c r="R127" s="35">
        <f>SUM(R123:R126)</f>
        <v>81126.75</v>
      </c>
      <c r="S127" s="36">
        <f>SUM(S123:S126)</f>
        <v>243380.25</v>
      </c>
      <c r="T127" s="54"/>
    </row>
    <row r="128" spans="1:20" s="56" customFormat="1" ht="27" customHeight="1" x14ac:dyDescent="0.25">
      <c r="A128" s="15"/>
      <c r="B128" s="86" t="s">
        <v>201</v>
      </c>
      <c r="C128" s="85"/>
      <c r="D128" s="85"/>
      <c r="E128" s="94"/>
      <c r="F128" s="85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110"/>
      <c r="T128" s="58"/>
    </row>
    <row r="129" spans="1:20" s="13" customFormat="1" x14ac:dyDescent="0.25">
      <c r="A129" s="20" t="s">
        <v>203</v>
      </c>
      <c r="B129" s="59" t="s">
        <v>100</v>
      </c>
      <c r="C129" s="22">
        <v>1</v>
      </c>
      <c r="D129" s="22">
        <v>13</v>
      </c>
      <c r="E129" s="23">
        <v>7253</v>
      </c>
      <c r="F129" s="22">
        <f>E129*0.2</f>
        <v>1450.6000000000001</v>
      </c>
      <c r="G129" s="23">
        <f t="shared" ref="G129:G130" si="50">E129+F129</f>
        <v>8703.6</v>
      </c>
      <c r="H129" s="23"/>
      <c r="I129" s="23"/>
      <c r="J129" s="23"/>
      <c r="K129" s="23">
        <f t="shared" ref="K129:K130" si="51">G129*0.3</f>
        <v>2611.08</v>
      </c>
      <c r="L129" s="23">
        <f t="shared" ref="L129" si="52">20000-G129-K129</f>
        <v>8685.32</v>
      </c>
      <c r="M129" s="23"/>
      <c r="N129" s="23"/>
      <c r="O129" s="23"/>
      <c r="P129" s="23"/>
      <c r="Q129" s="23"/>
      <c r="R129" s="23">
        <f>G129+K129+L129+O129</f>
        <v>20000</v>
      </c>
      <c r="S129" s="25">
        <f>R129*3</f>
        <v>60000</v>
      </c>
      <c r="T129" s="52"/>
    </row>
    <row r="130" spans="1:20" s="38" customFormat="1" x14ac:dyDescent="0.25">
      <c r="A130" s="57" t="s">
        <v>205</v>
      </c>
      <c r="B130" s="21" t="s">
        <v>128</v>
      </c>
      <c r="C130" s="22">
        <v>1</v>
      </c>
      <c r="D130" s="22">
        <v>10</v>
      </c>
      <c r="E130" s="23">
        <v>5815</v>
      </c>
      <c r="F130" s="22">
        <f>E130*0.1</f>
        <v>581.5</v>
      </c>
      <c r="G130" s="23">
        <f t="shared" si="50"/>
        <v>6396.5</v>
      </c>
      <c r="H130" s="23"/>
      <c r="I130" s="23"/>
      <c r="J130" s="23"/>
      <c r="K130" s="23">
        <f t="shared" si="51"/>
        <v>1918.9499999999998</v>
      </c>
      <c r="L130" s="23">
        <f>13500-G130-K130</f>
        <v>5184.55</v>
      </c>
      <c r="M130" s="23"/>
      <c r="N130" s="23"/>
      <c r="O130" s="23"/>
      <c r="P130" s="23"/>
      <c r="Q130" s="23"/>
      <c r="R130" s="23">
        <f>G130+K130+L130</f>
        <v>13500</v>
      </c>
      <c r="S130" s="25">
        <f>R130*3</f>
        <v>40500</v>
      </c>
      <c r="T130" s="46"/>
    </row>
    <row r="131" spans="1:20" x14ac:dyDescent="0.25">
      <c r="A131" s="28"/>
      <c r="B131" s="50"/>
      <c r="C131" s="60"/>
      <c r="D131" s="60"/>
      <c r="E131" s="61"/>
      <c r="F131" s="60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25"/>
      <c r="T131" s="53"/>
    </row>
    <row r="132" spans="1:20" ht="21" customHeight="1" x14ac:dyDescent="0.25">
      <c r="A132" s="20"/>
      <c r="B132" s="63" t="s">
        <v>204</v>
      </c>
      <c r="C132" s="29"/>
      <c r="D132" s="29"/>
      <c r="E132" s="30"/>
      <c r="F132" s="29"/>
      <c r="G132" s="23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25"/>
      <c r="T132" s="53"/>
    </row>
    <row r="133" spans="1:20" ht="11.4" customHeight="1" x14ac:dyDescent="0.25">
      <c r="A133" s="20" t="s">
        <v>207</v>
      </c>
      <c r="B133" s="21" t="s">
        <v>206</v>
      </c>
      <c r="C133" s="22">
        <v>4.5</v>
      </c>
      <c r="D133" s="22">
        <v>14</v>
      </c>
      <c r="E133" s="23">
        <f>7732*C133</f>
        <v>34794</v>
      </c>
      <c r="F133" s="22"/>
      <c r="G133" s="23">
        <f t="shared" ref="G133:G139" si="53">E133+F133</f>
        <v>34794</v>
      </c>
      <c r="H133" s="23"/>
      <c r="I133" s="23"/>
      <c r="J133" s="23"/>
      <c r="K133" s="23">
        <f t="shared" ref="K133" si="54">G133*0.3</f>
        <v>10438.199999999999</v>
      </c>
      <c r="L133" s="23">
        <f>20000*C133-G133-K133</f>
        <v>44767.8</v>
      </c>
      <c r="M133" s="23"/>
      <c r="N133" s="23"/>
      <c r="O133" s="23"/>
      <c r="P133" s="23"/>
      <c r="Q133" s="23"/>
      <c r="R133" s="23">
        <f>G133+K133+L133+O133</f>
        <v>90000</v>
      </c>
      <c r="S133" s="25">
        <f>R133*3</f>
        <v>270000</v>
      </c>
    </row>
    <row r="134" spans="1:20" x14ac:dyDescent="0.25">
      <c r="A134" s="20" t="s">
        <v>209</v>
      </c>
      <c r="B134" s="21" t="s">
        <v>208</v>
      </c>
      <c r="C134" s="22">
        <v>1</v>
      </c>
      <c r="D134" s="22">
        <v>13</v>
      </c>
      <c r="E134" s="23">
        <v>7523</v>
      </c>
      <c r="F134" s="22"/>
      <c r="G134" s="23">
        <f t="shared" si="53"/>
        <v>7523</v>
      </c>
      <c r="H134" s="23"/>
      <c r="I134" s="23"/>
      <c r="J134" s="23"/>
      <c r="K134" s="23">
        <f>G134*0.3</f>
        <v>2256.9</v>
      </c>
      <c r="L134" s="23">
        <f>20000-G134-K134</f>
        <v>10220.1</v>
      </c>
      <c r="M134" s="23"/>
      <c r="N134" s="23"/>
      <c r="O134" s="23"/>
      <c r="P134" s="23"/>
      <c r="Q134" s="23"/>
      <c r="R134" s="23">
        <f>G134+K134+L134+O134</f>
        <v>20000</v>
      </c>
      <c r="S134" s="25">
        <f t="shared" ref="S134:S139" si="55">R134*3</f>
        <v>60000</v>
      </c>
    </row>
    <row r="135" spans="1:20" s="13" customFormat="1" x14ac:dyDescent="0.25">
      <c r="A135" s="20" t="s">
        <v>210</v>
      </c>
      <c r="B135" s="21" t="s">
        <v>112</v>
      </c>
      <c r="C135" s="22">
        <v>1</v>
      </c>
      <c r="D135" s="22">
        <v>12</v>
      </c>
      <c r="E135" s="23">
        <v>6773</v>
      </c>
      <c r="F135" s="22"/>
      <c r="G135" s="23">
        <f t="shared" si="53"/>
        <v>6773</v>
      </c>
      <c r="H135" s="23"/>
      <c r="I135" s="23"/>
      <c r="J135" s="23"/>
      <c r="K135" s="23">
        <f t="shared" ref="K135:K137" si="56">G135*0.3</f>
        <v>2031.8999999999999</v>
      </c>
      <c r="L135" s="23">
        <f t="shared" ref="L135" si="57">20000-G135-K135</f>
        <v>11195.1</v>
      </c>
      <c r="M135" s="23"/>
      <c r="N135" s="23"/>
      <c r="O135" s="23"/>
      <c r="P135" s="23"/>
      <c r="Q135" s="23"/>
      <c r="R135" s="23">
        <f>G135+K135+L135+O135</f>
        <v>20000</v>
      </c>
      <c r="S135" s="25">
        <f t="shared" si="55"/>
        <v>60000</v>
      </c>
    </row>
    <row r="136" spans="1:20" x14ac:dyDescent="0.25">
      <c r="A136" s="20" t="s">
        <v>213</v>
      </c>
      <c r="B136" s="21" t="s">
        <v>211</v>
      </c>
      <c r="C136" s="22">
        <v>5</v>
      </c>
      <c r="D136" s="22">
        <v>10</v>
      </c>
      <c r="E136" s="23">
        <f>5815*C136</f>
        <v>29075</v>
      </c>
      <c r="F136" s="22"/>
      <c r="G136" s="23">
        <f t="shared" si="53"/>
        <v>29075</v>
      </c>
      <c r="H136" s="23"/>
      <c r="I136" s="23">
        <f>G136*0.1</f>
        <v>2907.5</v>
      </c>
      <c r="J136" s="23"/>
      <c r="K136" s="23">
        <f t="shared" si="56"/>
        <v>8722.5</v>
      </c>
      <c r="L136" s="23">
        <f>13500*C136-G136-I136-K136</f>
        <v>26795</v>
      </c>
      <c r="M136" s="23"/>
      <c r="N136" s="23"/>
      <c r="O136" s="23"/>
      <c r="P136" s="23"/>
      <c r="Q136" s="23"/>
      <c r="R136" s="23">
        <f>G136+I136+K136+L136</f>
        <v>67500</v>
      </c>
      <c r="S136" s="25">
        <f t="shared" si="55"/>
        <v>202500</v>
      </c>
      <c r="T136" s="53"/>
    </row>
    <row r="137" spans="1:20" s="13" customFormat="1" x14ac:dyDescent="0.25">
      <c r="A137" s="20" t="s">
        <v>214</v>
      </c>
      <c r="B137" s="21" t="s">
        <v>91</v>
      </c>
      <c r="C137" s="22">
        <v>1</v>
      </c>
      <c r="D137" s="22">
        <v>10</v>
      </c>
      <c r="E137" s="23">
        <v>5815</v>
      </c>
      <c r="F137" s="22"/>
      <c r="G137" s="23">
        <f t="shared" si="53"/>
        <v>5815</v>
      </c>
      <c r="H137" s="23"/>
      <c r="I137" s="23"/>
      <c r="J137" s="23"/>
      <c r="K137" s="23">
        <f t="shared" si="56"/>
        <v>1744.5</v>
      </c>
      <c r="L137" s="23">
        <f t="shared" ref="L137:L138" si="58">13500-G137-K137</f>
        <v>5940.5</v>
      </c>
      <c r="M137" s="23"/>
      <c r="N137" s="23"/>
      <c r="O137" s="23"/>
      <c r="P137" s="23"/>
      <c r="Q137" s="23"/>
      <c r="R137" s="23">
        <f t="shared" ref="R137:R138" si="59">G137+K137+L137</f>
        <v>13500</v>
      </c>
      <c r="S137" s="25">
        <f t="shared" si="55"/>
        <v>40500</v>
      </c>
    </row>
    <row r="138" spans="1:20" x14ac:dyDescent="0.25">
      <c r="A138" s="20" t="s">
        <v>216</v>
      </c>
      <c r="B138" s="21" t="s">
        <v>215</v>
      </c>
      <c r="C138" s="22">
        <v>1</v>
      </c>
      <c r="D138" s="22">
        <v>10</v>
      </c>
      <c r="E138" s="23">
        <v>5815</v>
      </c>
      <c r="F138" s="22"/>
      <c r="G138" s="23">
        <f t="shared" si="53"/>
        <v>5815</v>
      </c>
      <c r="H138" s="23"/>
      <c r="I138" s="23"/>
      <c r="J138" s="23"/>
      <c r="K138" s="23">
        <f>G138*0.3</f>
        <v>1744.5</v>
      </c>
      <c r="L138" s="23">
        <f t="shared" si="58"/>
        <v>5940.5</v>
      </c>
      <c r="M138" s="23"/>
      <c r="N138" s="23"/>
      <c r="O138" s="23"/>
      <c r="P138" s="23"/>
      <c r="Q138" s="23"/>
      <c r="R138" s="23">
        <f t="shared" si="59"/>
        <v>13500</v>
      </c>
      <c r="S138" s="25">
        <f t="shared" si="55"/>
        <v>40500</v>
      </c>
    </row>
    <row r="139" spans="1:20" x14ac:dyDescent="0.25">
      <c r="A139" s="20" t="s">
        <v>218</v>
      </c>
      <c r="B139" s="21" t="s">
        <v>134</v>
      </c>
      <c r="C139" s="22">
        <v>2</v>
      </c>
      <c r="D139" s="22">
        <v>3</v>
      </c>
      <c r="E139" s="23">
        <f>3770*C139</f>
        <v>7540</v>
      </c>
      <c r="F139" s="22"/>
      <c r="G139" s="23">
        <f t="shared" si="53"/>
        <v>7540</v>
      </c>
      <c r="H139" s="23"/>
      <c r="I139" s="23">
        <f>G139*0.1</f>
        <v>754</v>
      </c>
      <c r="J139" s="23"/>
      <c r="K139" s="23"/>
      <c r="L139" s="23"/>
      <c r="M139" s="23"/>
      <c r="N139" s="23"/>
      <c r="O139" s="23"/>
      <c r="P139" s="23">
        <f>8000*C139-G139</f>
        <v>8460</v>
      </c>
      <c r="Q139" s="23"/>
      <c r="R139" s="23">
        <f>SUM(G139:Q139)</f>
        <v>16754</v>
      </c>
      <c r="S139" s="25">
        <f t="shared" si="55"/>
        <v>50262</v>
      </c>
    </row>
    <row r="140" spans="1:20" s="27" customFormat="1" ht="25.8" customHeight="1" thickBot="1" x14ac:dyDescent="0.3">
      <c r="A140" s="64"/>
      <c r="B140" s="47" t="s">
        <v>59</v>
      </c>
      <c r="C140" s="34">
        <f>SUM(C129:C139)</f>
        <v>17.5</v>
      </c>
      <c r="D140" s="34"/>
      <c r="E140" s="35">
        <f>SUM(E129:E139)</f>
        <v>110403</v>
      </c>
      <c r="F140" s="34">
        <f>SUM(F129:F139)</f>
        <v>2032.1000000000001</v>
      </c>
      <c r="G140" s="35">
        <f>SUM(G129:G139)</f>
        <v>112435.1</v>
      </c>
      <c r="H140" s="35"/>
      <c r="I140" s="35">
        <f>SUM(I129:I139)</f>
        <v>3661.5</v>
      </c>
      <c r="J140" s="35"/>
      <c r="K140" s="35">
        <f>SUM(K129:K139)</f>
        <v>31468.530000000002</v>
      </c>
      <c r="L140" s="35">
        <f>SUM(L129:L139)</f>
        <v>118728.87000000001</v>
      </c>
      <c r="M140" s="35">
        <f>SUM(M139:M139)</f>
        <v>0</v>
      </c>
      <c r="N140" s="35"/>
      <c r="O140" s="35">
        <f>SUM(O134:O139)</f>
        <v>0</v>
      </c>
      <c r="P140" s="35">
        <f>SUM(P139:P139)</f>
        <v>8460</v>
      </c>
      <c r="Q140" s="35"/>
      <c r="R140" s="35">
        <f>SUM(R129:R139)</f>
        <v>274754</v>
      </c>
      <c r="S140" s="36">
        <f>SUM(S129:S139)</f>
        <v>824262</v>
      </c>
    </row>
    <row r="141" spans="1:20" ht="27.6" customHeight="1" x14ac:dyDescent="0.25">
      <c r="A141" s="15"/>
      <c r="B141" s="55" t="s">
        <v>217</v>
      </c>
      <c r="C141" s="85"/>
      <c r="D141" s="85"/>
      <c r="E141" s="94"/>
      <c r="F141" s="85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110"/>
    </row>
    <row r="142" spans="1:20" x14ac:dyDescent="0.25">
      <c r="A142" s="20" t="s">
        <v>221</v>
      </c>
      <c r="B142" s="21" t="s">
        <v>219</v>
      </c>
      <c r="C142" s="22">
        <v>6.5</v>
      </c>
      <c r="D142" s="22">
        <v>10</v>
      </c>
      <c r="E142" s="23">
        <f>5815*C142</f>
        <v>37797.5</v>
      </c>
      <c r="F142" s="22"/>
      <c r="G142" s="23">
        <f t="shared" ref="G142:G143" si="60">E142+F142</f>
        <v>37797.5</v>
      </c>
      <c r="H142" s="23"/>
      <c r="I142" s="23"/>
      <c r="J142" s="23"/>
      <c r="K142" s="23">
        <f t="shared" ref="K142" si="61">G142*0.3</f>
        <v>11339.25</v>
      </c>
      <c r="L142" s="23">
        <f>13500*C142-G142-K142-N142</f>
        <v>34185.904999999999</v>
      </c>
      <c r="M142" s="23"/>
      <c r="N142" s="23">
        <f>681.13*C142</f>
        <v>4427.3450000000003</v>
      </c>
      <c r="O142" s="23"/>
      <c r="P142" s="23"/>
      <c r="Q142" s="23"/>
      <c r="R142" s="23">
        <f t="shared" ref="R142" si="62">G142+K142+L142+N142</f>
        <v>87750</v>
      </c>
      <c r="S142" s="25">
        <f>R142*3</f>
        <v>263250</v>
      </c>
    </row>
    <row r="143" spans="1:20" x14ac:dyDescent="0.25">
      <c r="A143" s="20" t="s">
        <v>223</v>
      </c>
      <c r="B143" s="21" t="s">
        <v>78</v>
      </c>
      <c r="C143" s="22">
        <v>5</v>
      </c>
      <c r="D143" s="22">
        <v>4</v>
      </c>
      <c r="E143" s="23">
        <f>4058*C143</f>
        <v>20290</v>
      </c>
      <c r="F143" s="22"/>
      <c r="G143" s="23">
        <f t="shared" si="60"/>
        <v>20290</v>
      </c>
      <c r="H143" s="23"/>
      <c r="I143" s="23"/>
      <c r="J143" s="23"/>
      <c r="K143" s="23"/>
      <c r="L143" s="23"/>
      <c r="M143" s="23"/>
      <c r="N143" s="23">
        <f>475.33*C143</f>
        <v>2376.65</v>
      </c>
      <c r="O143" s="23"/>
      <c r="P143" s="23">
        <f>8000*C143-G143</f>
        <v>19710</v>
      </c>
      <c r="Q143" s="23"/>
      <c r="R143" s="23">
        <f>E143+P143+N143</f>
        <v>42376.65</v>
      </c>
      <c r="S143" s="25">
        <f>R143*3</f>
        <v>127129.95000000001</v>
      </c>
    </row>
    <row r="144" spans="1:20" s="27" customFormat="1" ht="22.2" customHeight="1" thickBot="1" x14ac:dyDescent="0.3">
      <c r="A144" s="64"/>
      <c r="B144" s="47" t="s">
        <v>59</v>
      </c>
      <c r="C144" s="34">
        <f>SUM(C142:C143)</f>
        <v>11.5</v>
      </c>
      <c r="D144" s="34"/>
      <c r="E144" s="35">
        <f>SUM(E142:E143)</f>
        <v>58087.5</v>
      </c>
      <c r="F144" s="34"/>
      <c r="G144" s="35">
        <f>SUM(G142:G143)</f>
        <v>58087.5</v>
      </c>
      <c r="H144" s="35"/>
      <c r="I144" s="35"/>
      <c r="J144" s="35"/>
      <c r="K144" s="35">
        <f>SUM(K142:K143)</f>
        <v>11339.25</v>
      </c>
      <c r="L144" s="35">
        <f>SUM(L142:L143)</f>
        <v>34185.904999999999</v>
      </c>
      <c r="M144" s="35"/>
      <c r="N144" s="35">
        <f>SUM(N142:N143)</f>
        <v>6803.9950000000008</v>
      </c>
      <c r="O144" s="35"/>
      <c r="P144" s="35">
        <f>SUM(P142:P143)</f>
        <v>19710</v>
      </c>
      <c r="Q144" s="35"/>
      <c r="R144" s="35">
        <f>SUM(R142:R143)</f>
        <v>130126.65</v>
      </c>
      <c r="S144" s="36">
        <f>SUM(S142:S143)</f>
        <v>390379.95</v>
      </c>
    </row>
    <row r="145" spans="1:20" ht="29.4" customHeight="1" x14ac:dyDescent="0.25">
      <c r="A145" s="15"/>
      <c r="B145" s="55" t="s">
        <v>222</v>
      </c>
      <c r="C145" s="85"/>
      <c r="D145" s="85"/>
      <c r="E145" s="94"/>
      <c r="F145" s="85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110"/>
    </row>
    <row r="146" spans="1:20" x14ac:dyDescent="0.25">
      <c r="A146" s="20" t="s">
        <v>224</v>
      </c>
      <c r="B146" s="21" t="s">
        <v>206</v>
      </c>
      <c r="C146" s="22">
        <v>1</v>
      </c>
      <c r="D146" s="22">
        <v>12</v>
      </c>
      <c r="E146" s="23">
        <f>6773*C146</f>
        <v>6773</v>
      </c>
      <c r="F146" s="22">
        <f>E146*0.1</f>
        <v>677.30000000000007</v>
      </c>
      <c r="G146" s="23">
        <f t="shared" ref="G146:G151" si="63">E146+F146</f>
        <v>7450.3</v>
      </c>
      <c r="H146" s="23"/>
      <c r="I146" s="23"/>
      <c r="J146" s="23"/>
      <c r="K146" s="23">
        <f>G146*0.3</f>
        <v>2235.09</v>
      </c>
      <c r="L146" s="23">
        <f>20000*C146-G146-K146</f>
        <v>10314.61</v>
      </c>
      <c r="M146" s="23"/>
      <c r="N146" s="23"/>
      <c r="O146" s="23"/>
      <c r="P146" s="23"/>
      <c r="Q146" s="23"/>
      <c r="R146" s="23">
        <f>G146+K146+L146</f>
        <v>20000</v>
      </c>
      <c r="S146" s="25">
        <f>R146*3</f>
        <v>60000</v>
      </c>
    </row>
    <row r="147" spans="1:20" x14ac:dyDescent="0.25">
      <c r="A147" s="20" t="s">
        <v>225</v>
      </c>
      <c r="B147" s="21" t="s">
        <v>91</v>
      </c>
      <c r="C147" s="22">
        <v>1</v>
      </c>
      <c r="D147" s="22">
        <v>7</v>
      </c>
      <c r="E147" s="23">
        <v>4920</v>
      </c>
      <c r="F147" s="22"/>
      <c r="G147" s="23">
        <f t="shared" si="63"/>
        <v>4920</v>
      </c>
      <c r="H147" s="23"/>
      <c r="I147" s="23"/>
      <c r="J147" s="23"/>
      <c r="K147" s="23">
        <f>G147*0.3</f>
        <v>1476</v>
      </c>
      <c r="L147" s="23">
        <f>13500-G147-K147</f>
        <v>7104</v>
      </c>
      <c r="M147" s="23"/>
      <c r="N147" s="23"/>
      <c r="O147" s="23"/>
      <c r="P147" s="23"/>
      <c r="Q147" s="23"/>
      <c r="R147" s="23">
        <f>G147+K147+L147</f>
        <v>13500</v>
      </c>
      <c r="S147" s="25">
        <f t="shared" ref="S147:S150" si="64">R147*3</f>
        <v>40500</v>
      </c>
    </row>
    <row r="148" spans="1:20" x14ac:dyDescent="0.25">
      <c r="A148" s="20" t="s">
        <v>226</v>
      </c>
      <c r="B148" s="21" t="s">
        <v>134</v>
      </c>
      <c r="C148" s="22">
        <v>1</v>
      </c>
      <c r="D148" s="22">
        <v>3</v>
      </c>
      <c r="E148" s="23">
        <v>3770</v>
      </c>
      <c r="F148" s="22"/>
      <c r="G148" s="23">
        <f t="shared" si="63"/>
        <v>3770</v>
      </c>
      <c r="H148" s="23"/>
      <c r="I148" s="23">
        <f>G148*0.1</f>
        <v>377</v>
      </c>
      <c r="J148" s="23"/>
      <c r="K148" s="23"/>
      <c r="L148" s="23"/>
      <c r="M148" s="23"/>
      <c r="N148" s="23"/>
      <c r="O148" s="23"/>
      <c r="P148" s="23">
        <f>8000-G148</f>
        <v>4230</v>
      </c>
      <c r="Q148" s="23"/>
      <c r="R148" s="23">
        <f>SUM(G148:Q148)</f>
        <v>8377</v>
      </c>
      <c r="S148" s="25">
        <f t="shared" si="64"/>
        <v>25131</v>
      </c>
    </row>
    <row r="149" spans="1:20" x14ac:dyDescent="0.25">
      <c r="A149" s="20" t="s">
        <v>228</v>
      </c>
      <c r="B149" s="21" t="s">
        <v>227</v>
      </c>
      <c r="C149" s="22">
        <v>1.75</v>
      </c>
      <c r="D149" s="22">
        <v>1</v>
      </c>
      <c r="E149" s="23">
        <f>3195*C149</f>
        <v>5591.25</v>
      </c>
      <c r="F149" s="22"/>
      <c r="G149" s="23">
        <f t="shared" si="63"/>
        <v>5591.25</v>
      </c>
      <c r="H149" s="23"/>
      <c r="I149" s="23"/>
      <c r="J149" s="23"/>
      <c r="K149" s="23"/>
      <c r="L149" s="23"/>
      <c r="M149" s="23"/>
      <c r="N149" s="23"/>
      <c r="O149" s="23"/>
      <c r="P149" s="23">
        <f>8000*C149-G149</f>
        <v>8408.75</v>
      </c>
      <c r="Q149" s="23"/>
      <c r="R149" s="23">
        <f>SUM(G149:Q149)</f>
        <v>14000</v>
      </c>
      <c r="S149" s="25">
        <f t="shared" si="64"/>
        <v>42000</v>
      </c>
    </row>
    <row r="150" spans="1:20" s="38" customFormat="1" x14ac:dyDescent="0.25">
      <c r="A150" s="20" t="s">
        <v>231</v>
      </c>
      <c r="B150" s="21" t="s">
        <v>229</v>
      </c>
      <c r="C150" s="22">
        <v>0.5</v>
      </c>
      <c r="D150" s="22">
        <v>1</v>
      </c>
      <c r="E150" s="23">
        <v>1597.5</v>
      </c>
      <c r="F150" s="22"/>
      <c r="G150" s="23">
        <f t="shared" si="63"/>
        <v>1597.5</v>
      </c>
      <c r="H150" s="23"/>
      <c r="I150" s="23"/>
      <c r="J150" s="23"/>
      <c r="K150" s="23"/>
      <c r="L150" s="23"/>
      <c r="M150" s="23"/>
      <c r="N150" s="23"/>
      <c r="O150" s="23"/>
      <c r="P150" s="23">
        <f>4000-G150</f>
        <v>2402.5</v>
      </c>
      <c r="Q150" s="23"/>
      <c r="R150" s="23">
        <f>SUM(G150:Q150)</f>
        <v>4000</v>
      </c>
      <c r="S150" s="25">
        <f t="shared" si="64"/>
        <v>12000</v>
      </c>
    </row>
    <row r="151" spans="1:20" s="27" customFormat="1" ht="27" customHeight="1" thickBot="1" x14ac:dyDescent="0.3">
      <c r="A151" s="64"/>
      <c r="B151" s="47" t="s">
        <v>59</v>
      </c>
      <c r="C151" s="34">
        <f>SUM(C146:C150)</f>
        <v>5.25</v>
      </c>
      <c r="D151" s="34"/>
      <c r="E151" s="35">
        <f>SUM(E146:E150)</f>
        <v>22651.75</v>
      </c>
      <c r="F151" s="34">
        <f>SUM(F146:F150)</f>
        <v>677.30000000000007</v>
      </c>
      <c r="G151" s="35">
        <f t="shared" si="63"/>
        <v>23329.05</v>
      </c>
      <c r="H151" s="35"/>
      <c r="I151" s="35">
        <f>SUM(I148:I150)</f>
        <v>377</v>
      </c>
      <c r="J151" s="35"/>
      <c r="K151" s="35">
        <f>SUM(K146:K150)</f>
        <v>3711.09</v>
      </c>
      <c r="L151" s="35">
        <f>SUM(L146:L150)</f>
        <v>17418.61</v>
      </c>
      <c r="M151" s="35"/>
      <c r="N151" s="35"/>
      <c r="O151" s="35"/>
      <c r="P151" s="35">
        <f>SUM(P146:P150)</f>
        <v>15041.25</v>
      </c>
      <c r="Q151" s="35"/>
      <c r="R151" s="35">
        <f>SUM(R146:R150)</f>
        <v>59877</v>
      </c>
      <c r="S151" s="36">
        <f>SUM(S146:S150)</f>
        <v>179631</v>
      </c>
    </row>
    <row r="152" spans="1:20" ht="23.4" customHeight="1" x14ac:dyDescent="0.25">
      <c r="A152" s="15"/>
      <c r="B152" s="55" t="s">
        <v>230</v>
      </c>
      <c r="C152" s="85"/>
      <c r="D152" s="85"/>
      <c r="E152" s="94"/>
      <c r="F152" s="85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110"/>
    </row>
    <row r="153" spans="1:20" x14ac:dyDescent="0.25">
      <c r="A153" s="20" t="s">
        <v>233</v>
      </c>
      <c r="B153" s="21" t="s">
        <v>232</v>
      </c>
      <c r="C153" s="22">
        <v>1.25</v>
      </c>
      <c r="D153" s="22">
        <v>13</v>
      </c>
      <c r="E153" s="23">
        <f>7253*C153</f>
        <v>9066.25</v>
      </c>
      <c r="F153" s="22">
        <f>E153*0.1</f>
        <v>906.625</v>
      </c>
      <c r="G153" s="23">
        <f t="shared" ref="G153:G157" si="65">E153+F153</f>
        <v>9972.875</v>
      </c>
      <c r="H153" s="23"/>
      <c r="I153" s="23"/>
      <c r="J153" s="23"/>
      <c r="K153" s="23">
        <f>G153*0.3</f>
        <v>2991.8624999999997</v>
      </c>
      <c r="L153" s="23">
        <f>20000*C153-G153-K153</f>
        <v>12035.262500000001</v>
      </c>
      <c r="M153" s="23"/>
      <c r="N153" s="23"/>
      <c r="O153" s="23"/>
      <c r="P153" s="23"/>
      <c r="Q153" s="23"/>
      <c r="R153" s="23">
        <f>G153+K153+L153+O153</f>
        <v>25000</v>
      </c>
      <c r="S153" s="25">
        <f>R153*3</f>
        <v>75000</v>
      </c>
    </row>
    <row r="154" spans="1:20" x14ac:dyDescent="0.25">
      <c r="A154" s="20" t="s">
        <v>234</v>
      </c>
      <c r="B154" s="21" t="s">
        <v>212</v>
      </c>
      <c r="C154" s="22">
        <v>2</v>
      </c>
      <c r="D154" s="22">
        <v>10</v>
      </c>
      <c r="E154" s="23">
        <f>5815*C154</f>
        <v>11630</v>
      </c>
      <c r="F154" s="22"/>
      <c r="G154" s="23">
        <f t="shared" si="65"/>
        <v>11630</v>
      </c>
      <c r="H154" s="23"/>
      <c r="I154" s="23"/>
      <c r="J154" s="23"/>
      <c r="K154" s="23">
        <f t="shared" ref="K154:K155" si="66">G154*0.3</f>
        <v>3489</v>
      </c>
      <c r="L154" s="23">
        <f>13500*C154-G154-K154</f>
        <v>11881</v>
      </c>
      <c r="M154" s="23"/>
      <c r="N154" s="23"/>
      <c r="O154" s="23"/>
      <c r="P154" s="23"/>
      <c r="Q154" s="23"/>
      <c r="R154" s="23">
        <f>G154+K154+L154</f>
        <v>27000</v>
      </c>
      <c r="S154" s="25">
        <f t="shared" ref="S154:S156" si="67">R154*3</f>
        <v>81000</v>
      </c>
    </row>
    <row r="155" spans="1:20" s="13" customFormat="1" x14ac:dyDescent="0.25">
      <c r="A155" s="20" t="s">
        <v>236</v>
      </c>
      <c r="B155" s="21" t="s">
        <v>235</v>
      </c>
      <c r="C155" s="22">
        <v>1</v>
      </c>
      <c r="D155" s="22">
        <v>7</v>
      </c>
      <c r="E155" s="23">
        <v>4920</v>
      </c>
      <c r="F155" s="22"/>
      <c r="G155" s="23">
        <f t="shared" si="65"/>
        <v>4920</v>
      </c>
      <c r="H155" s="23"/>
      <c r="I155" s="23"/>
      <c r="J155" s="23"/>
      <c r="K155" s="23">
        <f t="shared" si="66"/>
        <v>1476</v>
      </c>
      <c r="L155" s="23">
        <f>13500-G155-K155</f>
        <v>7104</v>
      </c>
      <c r="M155" s="23"/>
      <c r="N155" s="23"/>
      <c r="O155" s="23"/>
      <c r="P155" s="23"/>
      <c r="Q155" s="23"/>
      <c r="R155" s="23">
        <f>G155+L155+K155</f>
        <v>13500</v>
      </c>
      <c r="S155" s="25">
        <f t="shared" si="67"/>
        <v>40500</v>
      </c>
    </row>
    <row r="156" spans="1:20" s="38" customFormat="1" x14ac:dyDescent="0.25">
      <c r="A156" s="20" t="s">
        <v>238</v>
      </c>
      <c r="B156" s="21" t="s">
        <v>134</v>
      </c>
      <c r="C156" s="22">
        <v>1</v>
      </c>
      <c r="D156" s="22">
        <v>3</v>
      </c>
      <c r="E156" s="23">
        <v>3770</v>
      </c>
      <c r="F156" s="22"/>
      <c r="G156" s="23">
        <f t="shared" si="65"/>
        <v>3770</v>
      </c>
      <c r="H156" s="23"/>
      <c r="I156" s="23">
        <f>G156*0.1</f>
        <v>377</v>
      </c>
      <c r="J156" s="23"/>
      <c r="K156" s="23"/>
      <c r="L156" s="23"/>
      <c r="M156" s="23"/>
      <c r="N156" s="23"/>
      <c r="O156" s="23"/>
      <c r="P156" s="23">
        <f>8000-G156</f>
        <v>4230</v>
      </c>
      <c r="Q156" s="23"/>
      <c r="R156" s="23">
        <f>G156+I156+P156</f>
        <v>8377</v>
      </c>
      <c r="S156" s="25">
        <f t="shared" si="67"/>
        <v>25131</v>
      </c>
      <c r="T156" s="46"/>
    </row>
    <row r="157" spans="1:20" s="27" customFormat="1" ht="27" customHeight="1" thickBot="1" x14ac:dyDescent="0.3">
      <c r="A157" s="64"/>
      <c r="B157" s="47" t="s">
        <v>59</v>
      </c>
      <c r="C157" s="34">
        <f>SUM(C153:C156)</f>
        <v>5.25</v>
      </c>
      <c r="D157" s="34"/>
      <c r="E157" s="35">
        <f>SUM(E153:E156)</f>
        <v>29386.25</v>
      </c>
      <c r="F157" s="34">
        <f>SUM(F153:F156)</f>
        <v>906.625</v>
      </c>
      <c r="G157" s="35">
        <f t="shared" si="65"/>
        <v>30292.875</v>
      </c>
      <c r="H157" s="35"/>
      <c r="I157" s="35">
        <f>SUM(I156)</f>
        <v>377</v>
      </c>
      <c r="J157" s="35"/>
      <c r="K157" s="35">
        <f>SUM(K153:K156)</f>
        <v>7956.8624999999993</v>
      </c>
      <c r="L157" s="35">
        <f>SUM(L153:L156)</f>
        <v>31020.262500000001</v>
      </c>
      <c r="M157" s="35">
        <f>SUM(M153:M155)</f>
        <v>0</v>
      </c>
      <c r="N157" s="35"/>
      <c r="O157" s="35">
        <f>SUM(O153:O156)</f>
        <v>0</v>
      </c>
      <c r="P157" s="35">
        <f>SUM(P156)</f>
        <v>4230</v>
      </c>
      <c r="Q157" s="35"/>
      <c r="R157" s="35">
        <f>SUM(R153:R156)</f>
        <v>73877</v>
      </c>
      <c r="S157" s="36">
        <f>SUM(S153:S156)</f>
        <v>221631</v>
      </c>
    </row>
    <row r="158" spans="1:20" ht="17.399999999999999" customHeight="1" x14ac:dyDescent="0.25">
      <c r="A158" s="15"/>
      <c r="B158" s="55" t="s">
        <v>237</v>
      </c>
      <c r="C158" s="85"/>
      <c r="D158" s="85"/>
      <c r="E158" s="94"/>
      <c r="F158" s="85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110"/>
    </row>
    <row r="159" spans="1:20" x14ac:dyDescent="0.25">
      <c r="A159" s="20" t="s">
        <v>239</v>
      </c>
      <c r="B159" s="21" t="s">
        <v>206</v>
      </c>
      <c r="C159" s="22">
        <v>2.25</v>
      </c>
      <c r="D159" s="22">
        <v>11</v>
      </c>
      <c r="E159" s="23">
        <f>6294*C159</f>
        <v>14161.5</v>
      </c>
      <c r="F159" s="22">
        <f>E159*0.1</f>
        <v>1416.15</v>
      </c>
      <c r="G159" s="23">
        <f t="shared" ref="G159:G164" si="68">E159+F159</f>
        <v>15577.65</v>
      </c>
      <c r="H159" s="23"/>
      <c r="I159" s="23"/>
      <c r="J159" s="23"/>
      <c r="K159" s="23">
        <f>G159*0.3</f>
        <v>4673.2950000000001</v>
      </c>
      <c r="L159" s="23">
        <f>20000*C159-G159-K159</f>
        <v>24749.055</v>
      </c>
      <c r="M159" s="23"/>
      <c r="N159" s="23"/>
      <c r="O159" s="23"/>
      <c r="P159" s="23"/>
      <c r="Q159" s="23"/>
      <c r="R159" s="23">
        <f>SUM(G159:Q159)</f>
        <v>45000</v>
      </c>
      <c r="S159" s="25">
        <f>R159*3</f>
        <v>135000</v>
      </c>
    </row>
    <row r="160" spans="1:20" x14ac:dyDescent="0.25">
      <c r="A160" s="20" t="s">
        <v>240</v>
      </c>
      <c r="B160" s="21" t="s">
        <v>241</v>
      </c>
      <c r="C160" s="22">
        <v>2</v>
      </c>
      <c r="D160" s="22">
        <v>10</v>
      </c>
      <c r="E160" s="23">
        <f>5815*C160</f>
        <v>11630</v>
      </c>
      <c r="F160" s="22"/>
      <c r="G160" s="23">
        <f t="shared" si="68"/>
        <v>11630</v>
      </c>
      <c r="H160" s="23"/>
      <c r="I160" s="23"/>
      <c r="J160" s="23"/>
      <c r="K160" s="23">
        <f t="shared" ref="K160:K161" si="69">G160*0.3</f>
        <v>3489</v>
      </c>
      <c r="L160" s="23">
        <f>13500*C160-G160-K160</f>
        <v>11881</v>
      </c>
      <c r="M160" s="23"/>
      <c r="N160" s="23"/>
      <c r="O160" s="23"/>
      <c r="P160" s="23"/>
      <c r="Q160" s="23"/>
      <c r="R160" s="23">
        <f>G160+K160+L160</f>
        <v>27000</v>
      </c>
      <c r="S160" s="25">
        <f t="shared" ref="S160:S163" si="70">R160*3</f>
        <v>81000</v>
      </c>
    </row>
    <row r="161" spans="1:20" s="13" customFormat="1" x14ac:dyDescent="0.25">
      <c r="A161" s="20" t="s">
        <v>242</v>
      </c>
      <c r="B161" s="21" t="s">
        <v>91</v>
      </c>
      <c r="C161" s="22">
        <v>2</v>
      </c>
      <c r="D161" s="22">
        <v>9</v>
      </c>
      <c r="E161" s="23">
        <f>5527*C161</f>
        <v>11054</v>
      </c>
      <c r="F161" s="22"/>
      <c r="G161" s="23">
        <f t="shared" si="68"/>
        <v>11054</v>
      </c>
      <c r="H161" s="23"/>
      <c r="I161" s="23"/>
      <c r="J161" s="23"/>
      <c r="K161" s="23">
        <f t="shared" si="69"/>
        <v>3316.2</v>
      </c>
      <c r="L161" s="23">
        <f>13500*C161-G161-K161</f>
        <v>12629.8</v>
      </c>
      <c r="M161" s="23"/>
      <c r="N161" s="23"/>
      <c r="O161" s="23"/>
      <c r="P161" s="23"/>
      <c r="Q161" s="23"/>
      <c r="R161" s="23">
        <f>G161+K161+L161</f>
        <v>27000</v>
      </c>
      <c r="S161" s="25">
        <f t="shared" si="70"/>
        <v>81000</v>
      </c>
    </row>
    <row r="162" spans="1:20" x14ac:dyDescent="0.25">
      <c r="A162" s="20" t="s">
        <v>243</v>
      </c>
      <c r="B162" s="21" t="s">
        <v>134</v>
      </c>
      <c r="C162" s="22">
        <v>1</v>
      </c>
      <c r="D162" s="22">
        <v>3</v>
      </c>
      <c r="E162" s="23">
        <v>3770</v>
      </c>
      <c r="F162" s="22"/>
      <c r="G162" s="23">
        <f t="shared" si="68"/>
        <v>3770</v>
      </c>
      <c r="H162" s="23"/>
      <c r="I162" s="23">
        <f>G162*0.1</f>
        <v>377</v>
      </c>
      <c r="J162" s="23"/>
      <c r="K162" s="23"/>
      <c r="L162" s="23"/>
      <c r="M162" s="23"/>
      <c r="N162" s="23"/>
      <c r="O162" s="23"/>
      <c r="P162" s="23">
        <f>8000-G162</f>
        <v>4230</v>
      </c>
      <c r="Q162" s="23"/>
      <c r="R162" s="23">
        <f>SUM(G162:Q162)</f>
        <v>8377</v>
      </c>
      <c r="S162" s="25">
        <f t="shared" si="70"/>
        <v>25131</v>
      </c>
    </row>
    <row r="163" spans="1:20" s="38" customFormat="1" x14ac:dyDescent="0.25">
      <c r="A163" s="20" t="s">
        <v>244</v>
      </c>
      <c r="B163" s="21" t="s">
        <v>245</v>
      </c>
      <c r="C163" s="22">
        <v>1</v>
      </c>
      <c r="D163" s="22">
        <v>5</v>
      </c>
      <c r="E163" s="23">
        <v>4345</v>
      </c>
      <c r="F163" s="22"/>
      <c r="G163" s="23">
        <f t="shared" si="68"/>
        <v>4345</v>
      </c>
      <c r="H163" s="23"/>
      <c r="I163" s="23"/>
      <c r="J163" s="23"/>
      <c r="K163" s="23"/>
      <c r="L163" s="23"/>
      <c r="M163" s="23"/>
      <c r="N163" s="23"/>
      <c r="O163" s="23"/>
      <c r="P163" s="23">
        <f>8000-G163</f>
        <v>3655</v>
      </c>
      <c r="Q163" s="23"/>
      <c r="R163" s="23">
        <f>G163+P163</f>
        <v>8000</v>
      </c>
      <c r="S163" s="25">
        <f t="shared" si="70"/>
        <v>24000</v>
      </c>
    </row>
    <row r="164" spans="1:20" s="27" customFormat="1" ht="17.399999999999999" customHeight="1" thickBot="1" x14ac:dyDescent="0.3">
      <c r="A164" s="64"/>
      <c r="B164" s="47" t="s">
        <v>59</v>
      </c>
      <c r="C164" s="34">
        <f>SUM(C159:C163)</f>
        <v>8.25</v>
      </c>
      <c r="D164" s="34"/>
      <c r="E164" s="35">
        <f>SUM(E159:E163)</f>
        <v>44960.5</v>
      </c>
      <c r="F164" s="34">
        <f>SUM(F159:F163)</f>
        <v>1416.15</v>
      </c>
      <c r="G164" s="35">
        <f t="shared" si="68"/>
        <v>46376.65</v>
      </c>
      <c r="H164" s="35"/>
      <c r="I164" s="35">
        <f>SUM(I162:I163)</f>
        <v>377</v>
      </c>
      <c r="J164" s="35"/>
      <c r="K164" s="35">
        <f>SUM(K159:K163)</f>
        <v>11478.494999999999</v>
      </c>
      <c r="L164" s="35">
        <f>SUM(L159:L163)</f>
        <v>49259.854999999996</v>
      </c>
      <c r="M164" s="35">
        <f>M159</f>
        <v>0</v>
      </c>
      <c r="N164" s="35"/>
      <c r="O164" s="35">
        <f>SUM(O159:O163)</f>
        <v>0</v>
      </c>
      <c r="P164" s="35">
        <f>SUM(P162:P163)</f>
        <v>7885</v>
      </c>
      <c r="Q164" s="35"/>
      <c r="R164" s="35">
        <f>SUM(R159:R163)</f>
        <v>115377</v>
      </c>
      <c r="S164" s="36">
        <f>SUM(S159:S163)</f>
        <v>346131</v>
      </c>
    </row>
    <row r="165" spans="1:20" s="13" customFormat="1" ht="25.8" customHeight="1" x14ac:dyDescent="0.2">
      <c r="A165" s="18"/>
      <c r="B165" s="55" t="s">
        <v>246</v>
      </c>
      <c r="C165" s="85"/>
      <c r="D165" s="85"/>
      <c r="E165" s="94"/>
      <c r="F165" s="85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110"/>
    </row>
    <row r="166" spans="1:20" x14ac:dyDescent="0.25">
      <c r="A166" s="20" t="s">
        <v>247</v>
      </c>
      <c r="B166" s="21" t="s">
        <v>232</v>
      </c>
      <c r="C166" s="22">
        <v>1.25</v>
      </c>
      <c r="D166" s="22">
        <v>11</v>
      </c>
      <c r="E166" s="23">
        <f>6294*C166</f>
        <v>7867.5</v>
      </c>
      <c r="F166" s="22">
        <f>E166*0.1</f>
        <v>786.75</v>
      </c>
      <c r="G166" s="23">
        <f t="shared" ref="G166:G169" si="71">E166+F166</f>
        <v>8654.25</v>
      </c>
      <c r="H166" s="23"/>
      <c r="I166" s="23"/>
      <c r="J166" s="23"/>
      <c r="K166" s="23">
        <f>G166*0.3</f>
        <v>2596.2750000000001</v>
      </c>
      <c r="L166" s="23">
        <f>20000*C166-G166-K166</f>
        <v>13749.475</v>
      </c>
      <c r="M166" s="23"/>
      <c r="N166" s="23"/>
      <c r="O166" s="23"/>
      <c r="P166" s="23"/>
      <c r="Q166" s="23"/>
      <c r="R166" s="23">
        <f>G166+K166+L166+O166</f>
        <v>25000</v>
      </c>
      <c r="S166" s="25">
        <f>R166*3</f>
        <v>75000</v>
      </c>
      <c r="T166" s="53"/>
    </row>
    <row r="167" spans="1:20" x14ac:dyDescent="0.25">
      <c r="A167" s="20" t="s">
        <v>248</v>
      </c>
      <c r="B167" s="21" t="s">
        <v>235</v>
      </c>
      <c r="C167" s="22">
        <v>1</v>
      </c>
      <c r="D167" s="22">
        <v>10</v>
      </c>
      <c r="E167" s="23">
        <v>5815</v>
      </c>
      <c r="F167" s="22"/>
      <c r="G167" s="23">
        <f t="shared" si="71"/>
        <v>5815</v>
      </c>
      <c r="H167" s="23"/>
      <c r="I167" s="23"/>
      <c r="J167" s="23"/>
      <c r="K167" s="23">
        <f t="shared" ref="K167:K168" si="72">G167*0.3</f>
        <v>1744.5</v>
      </c>
      <c r="L167" s="23">
        <f>13500-G167-K167</f>
        <v>5940.5</v>
      </c>
      <c r="M167" s="23"/>
      <c r="N167" s="23"/>
      <c r="O167" s="23"/>
      <c r="P167" s="23"/>
      <c r="Q167" s="23"/>
      <c r="R167" s="23">
        <f>G167+K167+L167</f>
        <v>13500</v>
      </c>
      <c r="S167" s="25">
        <f t="shared" ref="S167:S170" si="73">R167*3</f>
        <v>40500</v>
      </c>
    </row>
    <row r="168" spans="1:20" x14ac:dyDescent="0.25">
      <c r="A168" s="20" t="s">
        <v>249</v>
      </c>
      <c r="B168" s="21" t="s">
        <v>91</v>
      </c>
      <c r="C168" s="22">
        <v>0.5</v>
      </c>
      <c r="D168" s="22">
        <v>10</v>
      </c>
      <c r="E168" s="23">
        <v>2907.5</v>
      </c>
      <c r="F168" s="22"/>
      <c r="G168" s="23">
        <f t="shared" si="71"/>
        <v>2907.5</v>
      </c>
      <c r="H168" s="23"/>
      <c r="I168" s="23"/>
      <c r="J168" s="23"/>
      <c r="K168" s="23">
        <f t="shared" si="72"/>
        <v>872.25</v>
      </c>
      <c r="L168" s="23">
        <f>13500/2-G168-K168</f>
        <v>2970.25</v>
      </c>
      <c r="M168" s="23"/>
      <c r="N168" s="23"/>
      <c r="O168" s="23"/>
      <c r="P168" s="23"/>
      <c r="Q168" s="23"/>
      <c r="R168" s="23">
        <f>G168+K168+L168</f>
        <v>6750</v>
      </c>
      <c r="S168" s="25">
        <f t="shared" si="73"/>
        <v>20250</v>
      </c>
    </row>
    <row r="169" spans="1:20" x14ac:dyDescent="0.25">
      <c r="A169" s="20" t="s">
        <v>250</v>
      </c>
      <c r="B169" s="21" t="s">
        <v>134</v>
      </c>
      <c r="C169" s="22">
        <v>0.5</v>
      </c>
      <c r="D169" s="22">
        <v>3</v>
      </c>
      <c r="E169" s="23">
        <v>1885</v>
      </c>
      <c r="F169" s="22"/>
      <c r="G169" s="23">
        <f t="shared" si="71"/>
        <v>1885</v>
      </c>
      <c r="H169" s="23"/>
      <c r="I169" s="23">
        <f>G169*0.1</f>
        <v>188.5</v>
      </c>
      <c r="J169" s="23"/>
      <c r="K169" s="23"/>
      <c r="L169" s="23"/>
      <c r="M169" s="23"/>
      <c r="N169" s="23"/>
      <c r="O169" s="23"/>
      <c r="P169" s="23">
        <f>8000/2-G169</f>
        <v>2115</v>
      </c>
      <c r="Q169" s="23"/>
      <c r="R169" s="23">
        <f>SUM(G169:Q169)</f>
        <v>4188.5</v>
      </c>
      <c r="S169" s="25">
        <f t="shared" si="73"/>
        <v>12565.5</v>
      </c>
    </row>
    <row r="170" spans="1:20" s="38" customFormat="1" x14ac:dyDescent="0.25">
      <c r="A170" s="20" t="s">
        <v>251</v>
      </c>
      <c r="B170" s="21" t="s">
        <v>229</v>
      </c>
      <c r="C170" s="22">
        <v>0.5</v>
      </c>
      <c r="D170" s="22">
        <v>1</v>
      </c>
      <c r="E170" s="23">
        <v>1597.5</v>
      </c>
      <c r="F170" s="22"/>
      <c r="G170" s="23">
        <f>E170+F170</f>
        <v>1597.5</v>
      </c>
      <c r="H170" s="23"/>
      <c r="I170" s="23"/>
      <c r="J170" s="23"/>
      <c r="K170" s="23"/>
      <c r="L170" s="23"/>
      <c r="M170" s="23"/>
      <c r="N170" s="23"/>
      <c r="O170" s="23"/>
      <c r="P170" s="23">
        <f>8000/2-G170</f>
        <v>2402.5</v>
      </c>
      <c r="Q170" s="23"/>
      <c r="R170" s="23">
        <f t="shared" ref="R170" si="74">SUM(G170:Q170)</f>
        <v>4000</v>
      </c>
      <c r="S170" s="25">
        <f t="shared" si="73"/>
        <v>12000</v>
      </c>
    </row>
    <row r="171" spans="1:20" s="49" customFormat="1" ht="25.8" customHeight="1" thickBot="1" x14ac:dyDescent="0.3">
      <c r="A171" s="64"/>
      <c r="B171" s="47" t="s">
        <v>59</v>
      </c>
      <c r="C171" s="34">
        <f>SUM(C166:C170)</f>
        <v>3.75</v>
      </c>
      <c r="D171" s="34"/>
      <c r="E171" s="35">
        <f>SUM(E166:E170)</f>
        <v>20072.5</v>
      </c>
      <c r="F171" s="34">
        <f>SUM(F166:F170)</f>
        <v>786.75</v>
      </c>
      <c r="G171" s="35">
        <f>SUM(G166:G170)</f>
        <v>20859.25</v>
      </c>
      <c r="H171" s="35"/>
      <c r="I171" s="35">
        <f>SUM(I169:I170)</f>
        <v>188.5</v>
      </c>
      <c r="J171" s="35"/>
      <c r="K171" s="35">
        <f>SUM(K166:K170)</f>
        <v>5213.0249999999996</v>
      </c>
      <c r="L171" s="35">
        <f>SUM(L166:L170)</f>
        <v>22660.224999999999</v>
      </c>
      <c r="M171" s="35"/>
      <c r="N171" s="35"/>
      <c r="O171" s="35">
        <f>SUM(O166:O170)</f>
        <v>0</v>
      </c>
      <c r="P171" s="35">
        <f>SUM(P169:P170)</f>
        <v>4517.5</v>
      </c>
      <c r="Q171" s="35"/>
      <c r="R171" s="35">
        <f>SUM(R166:R170)</f>
        <v>53438.5</v>
      </c>
      <c r="S171" s="36">
        <f>SUM(S166:S170)</f>
        <v>160315.5</v>
      </c>
    </row>
    <row r="172" spans="1:20" s="13" customFormat="1" ht="23.4" customHeight="1" x14ac:dyDescent="0.2">
      <c r="A172" s="18"/>
      <c r="B172" s="55" t="s">
        <v>252</v>
      </c>
      <c r="C172" s="85"/>
      <c r="D172" s="85"/>
      <c r="E172" s="94"/>
      <c r="F172" s="85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110"/>
    </row>
    <row r="173" spans="1:20" s="13" customFormat="1" x14ac:dyDescent="0.25">
      <c r="A173" s="20" t="s">
        <v>253</v>
      </c>
      <c r="B173" s="21" t="s">
        <v>206</v>
      </c>
      <c r="C173" s="22">
        <v>1</v>
      </c>
      <c r="D173" s="22">
        <v>14</v>
      </c>
      <c r="E173" s="23">
        <v>7732</v>
      </c>
      <c r="F173" s="22">
        <f>E173*0.1</f>
        <v>773.2</v>
      </c>
      <c r="G173" s="23">
        <f t="shared" ref="G173:G180" si="75">E173+F173</f>
        <v>8505.2000000000007</v>
      </c>
      <c r="H173" s="23"/>
      <c r="I173" s="23"/>
      <c r="J173" s="23"/>
      <c r="K173" s="23">
        <f>G173*0.3</f>
        <v>2551.56</v>
      </c>
      <c r="L173" s="23">
        <f>20000-G173-K173</f>
        <v>8943.24</v>
      </c>
      <c r="M173" s="23"/>
      <c r="N173" s="23"/>
      <c r="O173" s="23"/>
      <c r="P173" s="23"/>
      <c r="Q173" s="23"/>
      <c r="R173" s="23">
        <f>G173+K173+L173+O173</f>
        <v>20000</v>
      </c>
      <c r="S173" s="25">
        <f>R173*3</f>
        <v>60000</v>
      </c>
    </row>
    <row r="174" spans="1:20" s="13" customFormat="1" x14ac:dyDescent="0.25">
      <c r="A174" s="20" t="s">
        <v>254</v>
      </c>
      <c r="B174" s="21" t="s">
        <v>112</v>
      </c>
      <c r="C174" s="22">
        <v>0.5</v>
      </c>
      <c r="D174" s="22">
        <v>13</v>
      </c>
      <c r="E174" s="23">
        <f>7253*C174</f>
        <v>3626.5</v>
      </c>
      <c r="F174" s="22"/>
      <c r="G174" s="23">
        <f t="shared" si="75"/>
        <v>3626.5</v>
      </c>
      <c r="H174" s="23"/>
      <c r="I174" s="23"/>
      <c r="J174" s="23"/>
      <c r="K174" s="23">
        <f t="shared" ref="K174:K177" si="76">G174*0.3</f>
        <v>1087.95</v>
      </c>
      <c r="L174" s="23">
        <f>20000*C174-G174-K174</f>
        <v>5285.55</v>
      </c>
      <c r="M174" s="23"/>
      <c r="N174" s="23"/>
      <c r="O174" s="23"/>
      <c r="P174" s="23"/>
      <c r="Q174" s="23"/>
      <c r="R174" s="23">
        <f>G174+K174+L174+O174</f>
        <v>10000</v>
      </c>
      <c r="S174" s="25">
        <f t="shared" ref="S174:S179" si="77">R174*3</f>
        <v>30000</v>
      </c>
    </row>
    <row r="175" spans="1:20" x14ac:dyDescent="0.25">
      <c r="A175" s="20" t="s">
        <v>255</v>
      </c>
      <c r="B175" s="21" t="s">
        <v>171</v>
      </c>
      <c r="C175" s="22">
        <v>1</v>
      </c>
      <c r="D175" s="22">
        <v>11</v>
      </c>
      <c r="E175" s="23">
        <v>6294</v>
      </c>
      <c r="F175" s="22"/>
      <c r="G175" s="23">
        <f t="shared" si="75"/>
        <v>6294</v>
      </c>
      <c r="H175" s="23"/>
      <c r="I175" s="23"/>
      <c r="J175" s="23"/>
      <c r="K175" s="23">
        <f t="shared" si="76"/>
        <v>1888.1999999999998</v>
      </c>
      <c r="L175" s="23">
        <f>20000-G175-K175</f>
        <v>11817.8</v>
      </c>
      <c r="M175" s="23"/>
      <c r="N175" s="23"/>
      <c r="O175" s="23"/>
      <c r="P175" s="23"/>
      <c r="Q175" s="23"/>
      <c r="R175" s="23">
        <f>G175+K175+L175+O175</f>
        <v>20000</v>
      </c>
      <c r="S175" s="25">
        <f t="shared" si="77"/>
        <v>60000</v>
      </c>
    </row>
    <row r="176" spans="1:20" x14ac:dyDescent="0.25">
      <c r="A176" s="20" t="s">
        <v>256</v>
      </c>
      <c r="B176" s="21" t="s">
        <v>212</v>
      </c>
      <c r="C176" s="22">
        <v>1</v>
      </c>
      <c r="D176" s="22">
        <v>10</v>
      </c>
      <c r="E176" s="23">
        <v>5815</v>
      </c>
      <c r="F176" s="22"/>
      <c r="G176" s="23">
        <f t="shared" si="75"/>
        <v>5815</v>
      </c>
      <c r="H176" s="23"/>
      <c r="I176" s="23"/>
      <c r="J176" s="23"/>
      <c r="K176" s="23">
        <f t="shared" si="76"/>
        <v>1744.5</v>
      </c>
      <c r="L176" s="23">
        <f>13500-G176-K176</f>
        <v>5940.5</v>
      </c>
      <c r="M176" s="23"/>
      <c r="N176" s="23"/>
      <c r="O176" s="23"/>
      <c r="P176" s="23"/>
      <c r="Q176" s="23"/>
      <c r="R176" s="23">
        <f>G176+K176+L176</f>
        <v>13500</v>
      </c>
      <c r="S176" s="25">
        <f t="shared" si="77"/>
        <v>40500</v>
      </c>
    </row>
    <row r="177" spans="1:20" x14ac:dyDescent="0.25">
      <c r="A177" s="20" t="s">
        <v>257</v>
      </c>
      <c r="B177" s="21" t="s">
        <v>235</v>
      </c>
      <c r="C177" s="22">
        <v>2</v>
      </c>
      <c r="D177" s="22">
        <v>10</v>
      </c>
      <c r="E177" s="23">
        <f>5815*C177</f>
        <v>11630</v>
      </c>
      <c r="F177" s="22"/>
      <c r="G177" s="23">
        <f t="shared" si="75"/>
        <v>11630</v>
      </c>
      <c r="H177" s="23"/>
      <c r="I177" s="23"/>
      <c r="J177" s="23"/>
      <c r="K177" s="23">
        <f t="shared" si="76"/>
        <v>3489</v>
      </c>
      <c r="L177" s="23">
        <f>13500*C177-G177-K177</f>
        <v>11881</v>
      </c>
      <c r="M177" s="23"/>
      <c r="N177" s="23"/>
      <c r="O177" s="23"/>
      <c r="P177" s="23"/>
      <c r="Q177" s="23"/>
      <c r="R177" s="23">
        <f t="shared" ref="R177" si="78">G177+K177+L177</f>
        <v>27000</v>
      </c>
      <c r="S177" s="25">
        <f t="shared" si="77"/>
        <v>81000</v>
      </c>
    </row>
    <row r="178" spans="1:20" x14ac:dyDescent="0.25">
      <c r="A178" s="20" t="s">
        <v>258</v>
      </c>
      <c r="B178" s="21" t="s">
        <v>134</v>
      </c>
      <c r="C178" s="22">
        <v>1</v>
      </c>
      <c r="D178" s="22">
        <v>3</v>
      </c>
      <c r="E178" s="23">
        <v>3770</v>
      </c>
      <c r="F178" s="22"/>
      <c r="G178" s="23">
        <f t="shared" si="75"/>
        <v>3770</v>
      </c>
      <c r="H178" s="23"/>
      <c r="I178" s="23">
        <f>G178*0.1</f>
        <v>377</v>
      </c>
      <c r="J178" s="23"/>
      <c r="K178" s="23"/>
      <c r="L178" s="23"/>
      <c r="M178" s="23"/>
      <c r="N178" s="23"/>
      <c r="O178" s="23"/>
      <c r="P178" s="23">
        <f>8000-G178</f>
        <v>4230</v>
      </c>
      <c r="Q178" s="23"/>
      <c r="R178" s="23">
        <f>G178+I178+P178</f>
        <v>8377</v>
      </c>
      <c r="S178" s="25">
        <f t="shared" si="77"/>
        <v>25131</v>
      </c>
      <c r="T178" s="53"/>
    </row>
    <row r="179" spans="1:20" s="38" customFormat="1" x14ac:dyDescent="0.25">
      <c r="A179" s="20" t="s">
        <v>260</v>
      </c>
      <c r="B179" s="21" t="s">
        <v>245</v>
      </c>
      <c r="C179" s="22">
        <v>0.5</v>
      </c>
      <c r="D179" s="22">
        <v>5</v>
      </c>
      <c r="E179" s="23">
        <v>2172.5</v>
      </c>
      <c r="F179" s="22"/>
      <c r="G179" s="23">
        <f t="shared" si="75"/>
        <v>2172.5</v>
      </c>
      <c r="H179" s="23"/>
      <c r="I179" s="23"/>
      <c r="J179" s="23"/>
      <c r="K179" s="23"/>
      <c r="L179" s="23"/>
      <c r="M179" s="23"/>
      <c r="N179" s="23"/>
      <c r="O179" s="23"/>
      <c r="P179" s="23">
        <f>8000/2-G179</f>
        <v>1827.5</v>
      </c>
      <c r="Q179" s="23"/>
      <c r="R179" s="23">
        <f>SUM(G179:Q179)</f>
        <v>4000</v>
      </c>
      <c r="S179" s="25">
        <f t="shared" si="77"/>
        <v>12000</v>
      </c>
    </row>
    <row r="180" spans="1:20" s="49" customFormat="1" ht="45" customHeight="1" thickBot="1" x14ac:dyDescent="0.3">
      <c r="A180" s="64"/>
      <c r="B180" s="47" t="s">
        <v>59</v>
      </c>
      <c r="C180" s="34">
        <f>SUM(C173:C179)</f>
        <v>7</v>
      </c>
      <c r="D180" s="34"/>
      <c r="E180" s="35">
        <f>SUM(E173:E179)</f>
        <v>41040</v>
      </c>
      <c r="F180" s="34">
        <f>SUM(F173:F179)</f>
        <v>773.2</v>
      </c>
      <c r="G180" s="35">
        <f t="shared" si="75"/>
        <v>41813.199999999997</v>
      </c>
      <c r="H180" s="35"/>
      <c r="I180" s="35">
        <f>SUM(I178:I179)</f>
        <v>377</v>
      </c>
      <c r="J180" s="35"/>
      <c r="K180" s="35">
        <f>SUM(K173:K179)</f>
        <v>10761.21</v>
      </c>
      <c r="L180" s="35">
        <f>SUM(L173:L179)</f>
        <v>43868.09</v>
      </c>
      <c r="M180" s="35"/>
      <c r="N180" s="35"/>
      <c r="O180" s="35">
        <f>SUM(O173:O179)</f>
        <v>0</v>
      </c>
      <c r="P180" s="35">
        <f>SUM(P173:P179)</f>
        <v>6057.5</v>
      </c>
      <c r="Q180" s="35"/>
      <c r="R180" s="35">
        <f>SUM(R173:R179)</f>
        <v>102877</v>
      </c>
      <c r="S180" s="36">
        <f>SUM(S173:S179)</f>
        <v>308631</v>
      </c>
    </row>
    <row r="181" spans="1:20" s="13" customFormat="1" ht="22.8" customHeight="1" x14ac:dyDescent="0.2">
      <c r="A181" s="18"/>
      <c r="B181" s="55" t="s">
        <v>259</v>
      </c>
      <c r="C181" s="85"/>
      <c r="D181" s="85"/>
      <c r="E181" s="94"/>
      <c r="F181" s="85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110"/>
    </row>
    <row r="182" spans="1:20" s="13" customFormat="1" x14ac:dyDescent="0.25">
      <c r="A182" s="20" t="s">
        <v>261</v>
      </c>
      <c r="B182" s="21" t="s">
        <v>206</v>
      </c>
      <c r="C182" s="22">
        <v>0.75</v>
      </c>
      <c r="D182" s="22">
        <v>14</v>
      </c>
      <c r="E182" s="23">
        <f>7732*C182</f>
        <v>5799</v>
      </c>
      <c r="F182" s="22">
        <f>E182*0.1</f>
        <v>579.9</v>
      </c>
      <c r="G182" s="23">
        <f t="shared" ref="G182:G185" si="79">E182+F182</f>
        <v>6378.9</v>
      </c>
      <c r="H182" s="23"/>
      <c r="I182" s="23"/>
      <c r="J182" s="23"/>
      <c r="K182" s="23"/>
      <c r="L182" s="23">
        <f>20000*C182-G182</f>
        <v>8621.1</v>
      </c>
      <c r="M182" s="23"/>
      <c r="N182" s="23"/>
      <c r="O182" s="23"/>
      <c r="P182" s="23"/>
      <c r="Q182" s="23"/>
      <c r="R182" s="23">
        <f>SUM(G182:Q182)</f>
        <v>15000</v>
      </c>
      <c r="S182" s="25">
        <f>R182*3</f>
        <v>45000</v>
      </c>
    </row>
    <row r="183" spans="1:20" x14ac:dyDescent="0.25">
      <c r="A183" s="20" t="s">
        <v>262</v>
      </c>
      <c r="B183" s="21" t="s">
        <v>235</v>
      </c>
      <c r="C183" s="22">
        <v>1</v>
      </c>
      <c r="D183" s="22">
        <v>10</v>
      </c>
      <c r="E183" s="23">
        <v>5815</v>
      </c>
      <c r="F183" s="22"/>
      <c r="G183" s="23">
        <f t="shared" si="79"/>
        <v>5815</v>
      </c>
      <c r="H183" s="23"/>
      <c r="I183" s="23"/>
      <c r="J183" s="23"/>
      <c r="K183" s="23">
        <f>G183*0.3</f>
        <v>1744.5</v>
      </c>
      <c r="L183" s="23">
        <f>13500-G183-K183</f>
        <v>5940.5</v>
      </c>
      <c r="M183" s="23"/>
      <c r="N183" s="23"/>
      <c r="O183" s="23"/>
      <c r="P183" s="23"/>
      <c r="Q183" s="23"/>
      <c r="R183" s="23">
        <f>G183+K183+L183</f>
        <v>13500</v>
      </c>
      <c r="S183" s="25">
        <f t="shared" ref="S183:S184" si="80">R183*3</f>
        <v>40500</v>
      </c>
      <c r="T183" s="53"/>
    </row>
    <row r="184" spans="1:20" s="38" customFormat="1" x14ac:dyDescent="0.25">
      <c r="A184" s="20" t="s">
        <v>264</v>
      </c>
      <c r="B184" s="21" t="s">
        <v>134</v>
      </c>
      <c r="C184" s="22">
        <v>1</v>
      </c>
      <c r="D184" s="22">
        <v>3</v>
      </c>
      <c r="E184" s="23">
        <v>3770</v>
      </c>
      <c r="F184" s="22"/>
      <c r="G184" s="23">
        <f t="shared" si="79"/>
        <v>3770</v>
      </c>
      <c r="H184" s="23"/>
      <c r="I184" s="23">
        <f>G184*0.1</f>
        <v>377</v>
      </c>
      <c r="J184" s="23"/>
      <c r="K184" s="23"/>
      <c r="L184" s="23"/>
      <c r="M184" s="23"/>
      <c r="N184" s="23"/>
      <c r="O184" s="23"/>
      <c r="P184" s="23">
        <f>8000-G184</f>
        <v>4230</v>
      </c>
      <c r="Q184" s="23"/>
      <c r="R184" s="23">
        <f>G184+I184+P184</f>
        <v>8377</v>
      </c>
      <c r="S184" s="25">
        <f t="shared" si="80"/>
        <v>25131</v>
      </c>
    </row>
    <row r="185" spans="1:20" s="49" customFormat="1" ht="23.4" customHeight="1" thickBot="1" x14ac:dyDescent="0.3">
      <c r="A185" s="64"/>
      <c r="B185" s="47" t="s">
        <v>59</v>
      </c>
      <c r="C185" s="34">
        <f>SUM(C182:C184)</f>
        <v>2.75</v>
      </c>
      <c r="D185" s="34"/>
      <c r="E185" s="35">
        <f>SUM(E182:E184)</f>
        <v>15384</v>
      </c>
      <c r="F185" s="34">
        <f>SUM(F182:F184)</f>
        <v>579.9</v>
      </c>
      <c r="G185" s="35">
        <f t="shared" si="79"/>
        <v>15963.9</v>
      </c>
      <c r="H185" s="35"/>
      <c r="I185" s="35">
        <f>SUM(I184)</f>
        <v>377</v>
      </c>
      <c r="J185" s="35"/>
      <c r="K185" s="35">
        <f>K183</f>
        <v>1744.5</v>
      </c>
      <c r="L185" s="35">
        <f>L182+L183</f>
        <v>14561.6</v>
      </c>
      <c r="M185" s="35">
        <f>M182</f>
        <v>0</v>
      </c>
      <c r="N185" s="35"/>
      <c r="O185" s="35"/>
      <c r="P185" s="35">
        <f>SUM(P184)</f>
        <v>4230</v>
      </c>
      <c r="Q185" s="35"/>
      <c r="R185" s="35">
        <f>SUM(R182:R184)</f>
        <v>36877</v>
      </c>
      <c r="S185" s="36">
        <f>SUM(S182:S184)</f>
        <v>110631</v>
      </c>
    </row>
    <row r="186" spans="1:20" ht="21" customHeight="1" x14ac:dyDescent="0.25">
      <c r="A186" s="15"/>
      <c r="B186" s="55" t="s">
        <v>312</v>
      </c>
      <c r="C186" s="85"/>
      <c r="D186" s="85"/>
      <c r="E186" s="94"/>
      <c r="F186" s="85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110"/>
    </row>
    <row r="187" spans="1:20" ht="24.6" customHeight="1" x14ac:dyDescent="0.25">
      <c r="A187" s="20"/>
      <c r="B187" s="44" t="s">
        <v>263</v>
      </c>
      <c r="C187" s="22"/>
      <c r="D187" s="22"/>
      <c r="E187" s="23"/>
      <c r="F187" s="22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5"/>
    </row>
    <row r="188" spans="1:20" x14ac:dyDescent="0.25">
      <c r="A188" s="20" t="s">
        <v>264</v>
      </c>
      <c r="B188" s="21" t="s">
        <v>220</v>
      </c>
      <c r="C188" s="22">
        <v>0.5</v>
      </c>
      <c r="D188" s="22">
        <v>10</v>
      </c>
      <c r="E188" s="23">
        <v>2907.5</v>
      </c>
      <c r="F188" s="22"/>
      <c r="G188" s="23">
        <f t="shared" ref="G188:G191" si="81">E188+F188</f>
        <v>2907.5</v>
      </c>
      <c r="H188" s="23"/>
      <c r="I188" s="23"/>
      <c r="J188" s="23"/>
      <c r="K188" s="23">
        <f>G188*0.3</f>
        <v>872.25</v>
      </c>
      <c r="L188" s="23">
        <f>R188-K188-G188</f>
        <v>2970.25</v>
      </c>
      <c r="M188" s="23"/>
      <c r="N188" s="23"/>
      <c r="O188" s="23"/>
      <c r="P188" s="23"/>
      <c r="Q188" s="23"/>
      <c r="R188" s="23">
        <v>6750</v>
      </c>
      <c r="S188" s="25">
        <f>R188*3</f>
        <v>20250</v>
      </c>
    </row>
    <row r="189" spans="1:20" x14ac:dyDescent="0.25">
      <c r="A189" s="20" t="s">
        <v>265</v>
      </c>
      <c r="B189" s="21" t="s">
        <v>134</v>
      </c>
      <c r="C189" s="22">
        <v>0.25</v>
      </c>
      <c r="D189" s="22">
        <v>3</v>
      </c>
      <c r="E189" s="23">
        <v>942.5</v>
      </c>
      <c r="F189" s="22"/>
      <c r="G189" s="23">
        <f t="shared" si="81"/>
        <v>942.5</v>
      </c>
      <c r="H189" s="23"/>
      <c r="I189" s="23">
        <f>G189*0.1</f>
        <v>94.25</v>
      </c>
      <c r="J189" s="23"/>
      <c r="K189" s="23"/>
      <c r="L189" s="23"/>
      <c r="M189" s="23"/>
      <c r="N189" s="23"/>
      <c r="O189" s="23"/>
      <c r="P189" s="23">
        <f>8000*0.25-G189</f>
        <v>1057.5</v>
      </c>
      <c r="Q189" s="23"/>
      <c r="R189" s="23">
        <f>E189+I189+P189</f>
        <v>2094.25</v>
      </c>
      <c r="S189" s="25">
        <f t="shared" ref="S189:S190" si="82">R189*3</f>
        <v>6282.75</v>
      </c>
    </row>
    <row r="190" spans="1:20" s="38" customFormat="1" x14ac:dyDescent="0.25">
      <c r="A190" s="20" t="s">
        <v>266</v>
      </c>
      <c r="B190" s="21" t="s">
        <v>267</v>
      </c>
      <c r="C190" s="22">
        <v>0.25</v>
      </c>
      <c r="D190" s="22">
        <v>1</v>
      </c>
      <c r="E190" s="23">
        <v>798.75</v>
      </c>
      <c r="F190" s="22"/>
      <c r="G190" s="23">
        <f t="shared" si="81"/>
        <v>798.75</v>
      </c>
      <c r="H190" s="23"/>
      <c r="I190" s="23"/>
      <c r="J190" s="23"/>
      <c r="K190" s="23"/>
      <c r="L190" s="23"/>
      <c r="M190" s="23"/>
      <c r="N190" s="23"/>
      <c r="O190" s="23"/>
      <c r="P190" s="23">
        <f>8000*0.25-G190</f>
        <v>1201.25</v>
      </c>
      <c r="Q190" s="23"/>
      <c r="R190" s="23">
        <f>E190+P190</f>
        <v>2000</v>
      </c>
      <c r="S190" s="25">
        <f t="shared" si="82"/>
        <v>6000</v>
      </c>
    </row>
    <row r="191" spans="1:20" s="27" customFormat="1" ht="24" customHeight="1" thickBot="1" x14ac:dyDescent="0.3">
      <c r="A191" s="112"/>
      <c r="B191" s="113" t="s">
        <v>59</v>
      </c>
      <c r="C191" s="114">
        <f>C188+C189+C190</f>
        <v>1</v>
      </c>
      <c r="D191" s="114"/>
      <c r="E191" s="115">
        <f>E188+E189+E190</f>
        <v>4648.75</v>
      </c>
      <c r="F191" s="114"/>
      <c r="G191" s="115">
        <f t="shared" si="81"/>
        <v>4648.75</v>
      </c>
      <c r="H191" s="115"/>
      <c r="I191" s="115">
        <f>SUM(I189)</f>
        <v>94.25</v>
      </c>
      <c r="J191" s="115"/>
      <c r="K191" s="115">
        <f>SUM(K188:K189)</f>
        <v>872.25</v>
      </c>
      <c r="L191" s="115">
        <f>SUM(L188:L189)</f>
        <v>2970.25</v>
      </c>
      <c r="M191" s="115"/>
      <c r="N191" s="115"/>
      <c r="O191" s="115"/>
      <c r="P191" s="115">
        <f>P189+P190</f>
        <v>2258.75</v>
      </c>
      <c r="Q191" s="115"/>
      <c r="R191" s="115">
        <f>SUM(R188:R190)</f>
        <v>10844.25</v>
      </c>
      <c r="S191" s="116">
        <f>SUM(S188:S190)</f>
        <v>32532.75</v>
      </c>
    </row>
    <row r="192" spans="1:20" s="13" customFormat="1" ht="20.399999999999999" customHeight="1" x14ac:dyDescent="0.2">
      <c r="A192" s="18"/>
      <c r="B192" s="55" t="s">
        <v>268</v>
      </c>
      <c r="C192" s="85"/>
      <c r="D192" s="85"/>
      <c r="E192" s="94"/>
      <c r="F192" s="85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110"/>
    </row>
    <row r="193" spans="1:20" x14ac:dyDescent="0.25">
      <c r="A193" s="20" t="s">
        <v>269</v>
      </c>
      <c r="B193" s="21" t="s">
        <v>220</v>
      </c>
      <c r="C193" s="22">
        <v>0.5</v>
      </c>
      <c r="D193" s="22">
        <v>9</v>
      </c>
      <c r="E193" s="23">
        <v>2763.5</v>
      </c>
      <c r="F193" s="22"/>
      <c r="G193" s="23">
        <f t="shared" ref="G193:G196" si="83">E193+F193</f>
        <v>2763.5</v>
      </c>
      <c r="H193" s="23"/>
      <c r="I193" s="23"/>
      <c r="J193" s="23"/>
      <c r="K193" s="23">
        <f>G193*0.3</f>
        <v>829.05</v>
      </c>
      <c r="L193" s="23">
        <f>6750-G193-K193</f>
        <v>3157.45</v>
      </c>
      <c r="M193" s="23"/>
      <c r="N193" s="23"/>
      <c r="O193" s="23"/>
      <c r="P193" s="23"/>
      <c r="Q193" s="23"/>
      <c r="R193" s="23">
        <f>G193+K193+L193</f>
        <v>6750</v>
      </c>
      <c r="S193" s="25">
        <f>R193*3</f>
        <v>20250</v>
      </c>
    </row>
    <row r="194" spans="1:20" x14ac:dyDescent="0.25">
      <c r="A194" s="20" t="s">
        <v>270</v>
      </c>
      <c r="B194" s="21" t="s">
        <v>134</v>
      </c>
      <c r="C194" s="22">
        <v>0.25</v>
      </c>
      <c r="D194" s="22">
        <v>3</v>
      </c>
      <c r="E194" s="23">
        <v>942.5</v>
      </c>
      <c r="F194" s="22"/>
      <c r="G194" s="23">
        <f t="shared" si="83"/>
        <v>942.5</v>
      </c>
      <c r="H194" s="23"/>
      <c r="I194" s="23">
        <f>G194*0.1</f>
        <v>94.25</v>
      </c>
      <c r="J194" s="23"/>
      <c r="K194" s="23"/>
      <c r="L194" s="23"/>
      <c r="M194" s="23"/>
      <c r="N194" s="23"/>
      <c r="O194" s="23"/>
      <c r="P194" s="23">
        <f>8000*0.25-G194</f>
        <v>1057.5</v>
      </c>
      <c r="Q194" s="23"/>
      <c r="R194" s="23">
        <f>E194+I194+P194</f>
        <v>2094.25</v>
      </c>
      <c r="S194" s="25">
        <f t="shared" ref="S194:S195" si="84">R194*3</f>
        <v>6282.75</v>
      </c>
    </row>
    <row r="195" spans="1:20" s="38" customFormat="1" x14ac:dyDescent="0.25">
      <c r="A195" s="20" t="s">
        <v>271</v>
      </c>
      <c r="B195" s="21" t="s">
        <v>227</v>
      </c>
      <c r="C195" s="22">
        <v>0.5</v>
      </c>
      <c r="D195" s="22">
        <v>1</v>
      </c>
      <c r="E195" s="23">
        <v>1597.5</v>
      </c>
      <c r="F195" s="22"/>
      <c r="G195" s="23">
        <f t="shared" si="83"/>
        <v>1597.5</v>
      </c>
      <c r="H195" s="23"/>
      <c r="I195" s="23"/>
      <c r="J195" s="23"/>
      <c r="K195" s="23"/>
      <c r="L195" s="23"/>
      <c r="M195" s="23"/>
      <c r="N195" s="23"/>
      <c r="O195" s="23"/>
      <c r="P195" s="23">
        <f>8000/2-G195</f>
        <v>2402.5</v>
      </c>
      <c r="Q195" s="23"/>
      <c r="R195" s="23">
        <f>E195+P195</f>
        <v>4000</v>
      </c>
      <c r="S195" s="25">
        <f t="shared" si="84"/>
        <v>12000</v>
      </c>
    </row>
    <row r="196" spans="1:20" s="27" customFormat="1" ht="27.6" customHeight="1" thickBot="1" x14ac:dyDescent="0.3">
      <c r="A196" s="64"/>
      <c r="B196" s="47" t="s">
        <v>59</v>
      </c>
      <c r="C196" s="34">
        <f>C193+C194+C195</f>
        <v>1.25</v>
      </c>
      <c r="D196" s="34"/>
      <c r="E196" s="35">
        <f>E193+E194+E195</f>
        <v>5303.5</v>
      </c>
      <c r="F196" s="34"/>
      <c r="G196" s="35">
        <f t="shared" si="83"/>
        <v>5303.5</v>
      </c>
      <c r="H196" s="35"/>
      <c r="I196" s="35">
        <f>SUM(I193:I194)</f>
        <v>94.25</v>
      </c>
      <c r="J196" s="35"/>
      <c r="K196" s="35">
        <f>SUM(K193:K195)</f>
        <v>829.05</v>
      </c>
      <c r="L196" s="35">
        <f>SUM(L192:L194)</f>
        <v>3157.45</v>
      </c>
      <c r="M196" s="35"/>
      <c r="N196" s="35"/>
      <c r="O196" s="35"/>
      <c r="P196" s="35">
        <f>P194+P195</f>
        <v>3460</v>
      </c>
      <c r="Q196" s="35"/>
      <c r="R196" s="35">
        <f>SUM(R193:R195)</f>
        <v>12844.25</v>
      </c>
      <c r="S196" s="36">
        <f>SUM(S193:S195)</f>
        <v>38532.75</v>
      </c>
    </row>
    <row r="197" spans="1:20" ht="22.8" customHeight="1" x14ac:dyDescent="0.25">
      <c r="A197" s="57"/>
      <c r="B197" s="111" t="s">
        <v>272</v>
      </c>
      <c r="C197" s="91"/>
      <c r="D197" s="91"/>
      <c r="E197" s="51"/>
      <c r="F197" s="9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97"/>
      <c r="T197" s="65"/>
    </row>
    <row r="198" spans="1:20" x14ac:dyDescent="0.25">
      <c r="A198" s="20" t="s">
        <v>273</v>
      </c>
      <c r="B198" s="21" t="s">
        <v>130</v>
      </c>
      <c r="C198" s="22">
        <v>1</v>
      </c>
      <c r="D198" s="22">
        <v>10</v>
      </c>
      <c r="E198" s="23">
        <v>5815</v>
      </c>
      <c r="F198" s="22"/>
      <c r="G198" s="23">
        <f t="shared" ref="G198:G201" si="85">E198+F198</f>
        <v>5815</v>
      </c>
      <c r="H198" s="23"/>
      <c r="I198" s="23"/>
      <c r="J198" s="23"/>
      <c r="K198" s="23">
        <f>G198*0.3</f>
        <v>1744.5</v>
      </c>
      <c r="L198" s="23">
        <f>13500-G198-K198</f>
        <v>5940.5</v>
      </c>
      <c r="M198" s="23"/>
      <c r="N198" s="23"/>
      <c r="O198" s="23"/>
      <c r="P198" s="23"/>
      <c r="Q198" s="23"/>
      <c r="R198" s="23">
        <f>G198+K198+L198</f>
        <v>13500</v>
      </c>
      <c r="S198" s="25">
        <f>R198*3</f>
        <v>40500</v>
      </c>
    </row>
    <row r="199" spans="1:20" x14ac:dyDescent="0.25">
      <c r="A199" s="20" t="s">
        <v>274</v>
      </c>
      <c r="B199" s="21" t="s">
        <v>134</v>
      </c>
      <c r="C199" s="22">
        <v>0.25</v>
      </c>
      <c r="D199" s="22">
        <v>3</v>
      </c>
      <c r="E199" s="23">
        <v>942.5</v>
      </c>
      <c r="F199" s="22"/>
      <c r="G199" s="23">
        <f t="shared" si="85"/>
        <v>942.5</v>
      </c>
      <c r="H199" s="23"/>
      <c r="I199" s="23">
        <f>G199*0.1</f>
        <v>94.25</v>
      </c>
      <c r="J199" s="23"/>
      <c r="K199" s="23"/>
      <c r="L199" s="23"/>
      <c r="M199" s="23"/>
      <c r="N199" s="23"/>
      <c r="O199" s="23"/>
      <c r="P199" s="23">
        <f>8000*0.25-G199</f>
        <v>1057.5</v>
      </c>
      <c r="Q199" s="23"/>
      <c r="R199" s="23">
        <f>E199+I199+P199</f>
        <v>2094.25</v>
      </c>
      <c r="S199" s="25">
        <f t="shared" ref="S199:S200" si="86">R199*3</f>
        <v>6282.75</v>
      </c>
    </row>
    <row r="200" spans="1:20" s="38" customFormat="1" x14ac:dyDescent="0.25">
      <c r="A200" s="20" t="s">
        <v>275</v>
      </c>
      <c r="B200" s="21" t="s">
        <v>267</v>
      </c>
      <c r="C200" s="22">
        <v>0.25</v>
      </c>
      <c r="D200" s="22">
        <v>1</v>
      </c>
      <c r="E200" s="23">
        <v>798.75</v>
      </c>
      <c r="F200" s="22"/>
      <c r="G200" s="23">
        <f t="shared" si="85"/>
        <v>798.75</v>
      </c>
      <c r="H200" s="23"/>
      <c r="I200" s="23"/>
      <c r="J200" s="23"/>
      <c r="K200" s="23"/>
      <c r="L200" s="23"/>
      <c r="M200" s="23"/>
      <c r="N200" s="23"/>
      <c r="O200" s="23"/>
      <c r="P200" s="23">
        <f>8000*0.25-G200</f>
        <v>1201.25</v>
      </c>
      <c r="Q200" s="23"/>
      <c r="R200" s="23">
        <f>E200+P200</f>
        <v>2000</v>
      </c>
      <c r="S200" s="25">
        <f t="shared" si="86"/>
        <v>6000</v>
      </c>
    </row>
    <row r="201" spans="1:20" s="27" customFormat="1" ht="26.4" customHeight="1" thickBot="1" x14ac:dyDescent="0.3">
      <c r="A201" s="64"/>
      <c r="B201" s="47" t="s">
        <v>59</v>
      </c>
      <c r="C201" s="34">
        <f>SUM(C198:C200)</f>
        <v>1.5</v>
      </c>
      <c r="D201" s="34"/>
      <c r="E201" s="35">
        <f>SUM(E198:E200)</f>
        <v>7556.25</v>
      </c>
      <c r="F201" s="34">
        <f>SUM(F198:F200)</f>
        <v>0</v>
      </c>
      <c r="G201" s="35">
        <f t="shared" si="85"/>
        <v>7556.25</v>
      </c>
      <c r="H201" s="35"/>
      <c r="I201" s="35">
        <f>SUM(I199:I200)</f>
        <v>94.25</v>
      </c>
      <c r="J201" s="35"/>
      <c r="K201" s="35">
        <f>SUM(K198:K200)</f>
        <v>1744.5</v>
      </c>
      <c r="L201" s="35">
        <f>SUM(L198:L200)</f>
        <v>5940.5</v>
      </c>
      <c r="M201" s="35"/>
      <c r="N201" s="35"/>
      <c r="O201" s="35"/>
      <c r="P201" s="35">
        <f>P199+P200</f>
        <v>2258.75</v>
      </c>
      <c r="Q201" s="35"/>
      <c r="R201" s="35">
        <f>SUM(R198:R200)</f>
        <v>17594.25</v>
      </c>
      <c r="S201" s="36">
        <f>SUM(S198:S200)</f>
        <v>52782.75</v>
      </c>
    </row>
    <row r="202" spans="1:20" ht="22.2" customHeight="1" x14ac:dyDescent="0.25">
      <c r="A202" s="15"/>
      <c r="B202" s="55" t="s">
        <v>276</v>
      </c>
      <c r="C202" s="85"/>
      <c r="D202" s="85"/>
      <c r="E202" s="94"/>
      <c r="F202" s="85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110"/>
    </row>
    <row r="203" spans="1:20" x14ac:dyDescent="0.25">
      <c r="A203" s="20" t="s">
        <v>277</v>
      </c>
      <c r="B203" s="21" t="s">
        <v>220</v>
      </c>
      <c r="C203" s="22">
        <v>1</v>
      </c>
      <c r="D203" s="22">
        <v>10</v>
      </c>
      <c r="E203" s="23">
        <v>5815</v>
      </c>
      <c r="F203" s="22"/>
      <c r="G203" s="23">
        <f t="shared" ref="G203:G206" si="87">E203+F203</f>
        <v>5815</v>
      </c>
      <c r="H203" s="23"/>
      <c r="I203" s="23"/>
      <c r="J203" s="23"/>
      <c r="K203" s="23">
        <f>G203*0.3</f>
        <v>1744.5</v>
      </c>
      <c r="L203" s="23">
        <f>13500-G203-K203</f>
        <v>5940.5</v>
      </c>
      <c r="M203" s="23"/>
      <c r="N203" s="23"/>
      <c r="O203" s="23"/>
      <c r="P203" s="23"/>
      <c r="Q203" s="23"/>
      <c r="R203" s="23">
        <f>G203+K203+L203</f>
        <v>13500</v>
      </c>
      <c r="S203" s="25">
        <f>R203*3</f>
        <v>40500</v>
      </c>
    </row>
    <row r="204" spans="1:20" x14ac:dyDescent="0.25">
      <c r="A204" s="20" t="s">
        <v>278</v>
      </c>
      <c r="B204" s="21" t="s">
        <v>134</v>
      </c>
      <c r="C204" s="22">
        <v>0.25</v>
      </c>
      <c r="D204" s="22">
        <v>3</v>
      </c>
      <c r="E204" s="23">
        <v>942.5</v>
      </c>
      <c r="F204" s="22"/>
      <c r="G204" s="23">
        <f t="shared" si="87"/>
        <v>942.5</v>
      </c>
      <c r="H204" s="23"/>
      <c r="I204" s="23">
        <f>G204*0.1</f>
        <v>94.25</v>
      </c>
      <c r="J204" s="23"/>
      <c r="K204" s="23"/>
      <c r="L204" s="23"/>
      <c r="M204" s="23"/>
      <c r="N204" s="23"/>
      <c r="O204" s="23"/>
      <c r="P204" s="23">
        <f>8000*0.25-G204</f>
        <v>1057.5</v>
      </c>
      <c r="Q204" s="23"/>
      <c r="R204" s="23">
        <f>E204+I204+P204</f>
        <v>2094.25</v>
      </c>
      <c r="S204" s="25">
        <f t="shared" ref="S204:S205" si="88">R204*3</f>
        <v>6282.75</v>
      </c>
    </row>
    <row r="205" spans="1:20" s="38" customFormat="1" x14ac:dyDescent="0.25">
      <c r="A205" s="20" t="s">
        <v>279</v>
      </c>
      <c r="B205" s="21" t="s">
        <v>267</v>
      </c>
      <c r="C205" s="22">
        <v>0.25</v>
      </c>
      <c r="D205" s="22">
        <v>1</v>
      </c>
      <c r="E205" s="23">
        <v>798.75</v>
      </c>
      <c r="F205" s="22"/>
      <c r="G205" s="23">
        <f t="shared" si="87"/>
        <v>798.75</v>
      </c>
      <c r="H205" s="23"/>
      <c r="I205" s="23"/>
      <c r="J205" s="23"/>
      <c r="K205" s="23"/>
      <c r="L205" s="23"/>
      <c r="M205" s="23"/>
      <c r="N205" s="23"/>
      <c r="O205" s="23"/>
      <c r="P205" s="23">
        <f>8000*0.25-G205</f>
        <v>1201.25</v>
      </c>
      <c r="Q205" s="23"/>
      <c r="R205" s="23">
        <f>E205+P205</f>
        <v>2000</v>
      </c>
      <c r="S205" s="25">
        <f t="shared" si="88"/>
        <v>6000</v>
      </c>
    </row>
    <row r="206" spans="1:20" s="27" customFormat="1" ht="28.2" customHeight="1" thickBot="1" x14ac:dyDescent="0.3">
      <c r="A206" s="64"/>
      <c r="B206" s="47" t="s">
        <v>59</v>
      </c>
      <c r="C206" s="34">
        <f>SUM(C203:C205)</f>
        <v>1.5</v>
      </c>
      <c r="D206" s="34"/>
      <c r="E206" s="35">
        <f>SUM(E203:E205)</f>
        <v>7556.25</v>
      </c>
      <c r="F206" s="34">
        <f>SUM(F203:F205)</f>
        <v>0</v>
      </c>
      <c r="G206" s="35">
        <f t="shared" si="87"/>
        <v>7556.25</v>
      </c>
      <c r="H206" s="35"/>
      <c r="I206" s="35">
        <f>SUM(I204:I205)</f>
        <v>94.25</v>
      </c>
      <c r="J206" s="35"/>
      <c r="K206" s="35">
        <f>K203</f>
        <v>1744.5</v>
      </c>
      <c r="L206" s="35">
        <f>SUM(L203:L205)</f>
        <v>5940.5</v>
      </c>
      <c r="M206" s="35"/>
      <c r="N206" s="35"/>
      <c r="O206" s="35"/>
      <c r="P206" s="35">
        <f>P204+P205</f>
        <v>2258.75</v>
      </c>
      <c r="Q206" s="35"/>
      <c r="R206" s="35">
        <f>SUM(R203:R205)</f>
        <v>17594.25</v>
      </c>
      <c r="S206" s="36">
        <f>SUM(S203:S205)</f>
        <v>52782.75</v>
      </c>
    </row>
    <row r="207" spans="1:20" ht="24" customHeight="1" x14ac:dyDescent="0.25">
      <c r="A207" s="15"/>
      <c r="B207" s="55" t="s">
        <v>280</v>
      </c>
      <c r="C207" s="85"/>
      <c r="D207" s="85"/>
      <c r="E207" s="94"/>
      <c r="F207" s="85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110"/>
    </row>
    <row r="208" spans="1:20" x14ac:dyDescent="0.25">
      <c r="A208" s="20" t="s">
        <v>281</v>
      </c>
      <c r="B208" s="21" t="s">
        <v>130</v>
      </c>
      <c r="C208" s="22">
        <v>0.5</v>
      </c>
      <c r="D208" s="22">
        <v>8</v>
      </c>
      <c r="E208" s="23">
        <v>2620</v>
      </c>
      <c r="F208" s="22"/>
      <c r="G208" s="23">
        <f t="shared" ref="G208:G210" si="89">E208+F208</f>
        <v>2620</v>
      </c>
      <c r="H208" s="23"/>
      <c r="I208" s="23"/>
      <c r="J208" s="23"/>
      <c r="K208" s="23">
        <f>G208*0.3</f>
        <v>786</v>
      </c>
      <c r="L208" s="23">
        <f>R208-K208-G208</f>
        <v>3344</v>
      </c>
      <c r="M208" s="23"/>
      <c r="N208" s="23"/>
      <c r="O208" s="23"/>
      <c r="P208" s="23"/>
      <c r="Q208" s="23"/>
      <c r="R208" s="23">
        <v>6750</v>
      </c>
      <c r="S208" s="25">
        <f>R208*3</f>
        <v>20250</v>
      </c>
    </row>
    <row r="209" spans="1:20" s="38" customFormat="1" x14ac:dyDescent="0.25">
      <c r="A209" s="20" t="s">
        <v>282</v>
      </c>
      <c r="B209" s="21" t="s">
        <v>134</v>
      </c>
      <c r="C209" s="22">
        <v>0.5</v>
      </c>
      <c r="D209" s="22">
        <v>3</v>
      </c>
      <c r="E209" s="23">
        <v>1885</v>
      </c>
      <c r="F209" s="22"/>
      <c r="G209" s="23">
        <f t="shared" si="89"/>
        <v>1885</v>
      </c>
      <c r="H209" s="23"/>
      <c r="I209" s="23">
        <f>G209*0.1</f>
        <v>188.5</v>
      </c>
      <c r="J209" s="23"/>
      <c r="K209" s="23"/>
      <c r="L209" s="23"/>
      <c r="M209" s="23"/>
      <c r="N209" s="23"/>
      <c r="O209" s="23"/>
      <c r="P209" s="23">
        <f>8000/2-G209</f>
        <v>2115</v>
      </c>
      <c r="Q209" s="23"/>
      <c r="R209" s="23">
        <f>SUM(G209:Q209)</f>
        <v>4188.5</v>
      </c>
      <c r="S209" s="25">
        <f>R209*3</f>
        <v>12565.5</v>
      </c>
    </row>
    <row r="210" spans="1:20" s="27" customFormat="1" ht="25.8" customHeight="1" thickBot="1" x14ac:dyDescent="0.3">
      <c r="A210" s="64"/>
      <c r="B210" s="47" t="s">
        <v>59</v>
      </c>
      <c r="C210" s="34">
        <f>SUM(C208:C209)</f>
        <v>1</v>
      </c>
      <c r="D210" s="34"/>
      <c r="E210" s="35">
        <f>SUM(E208:E209)</f>
        <v>4505</v>
      </c>
      <c r="F210" s="34">
        <f>SUM(F208:F209)</f>
        <v>0</v>
      </c>
      <c r="G210" s="35">
        <f t="shared" si="89"/>
        <v>4505</v>
      </c>
      <c r="H210" s="35"/>
      <c r="I210" s="35">
        <f>SUM(I209)</f>
        <v>188.5</v>
      </c>
      <c r="J210" s="35"/>
      <c r="K210" s="35">
        <f>SUM(K208:K209)</f>
        <v>786</v>
      </c>
      <c r="L210" s="35">
        <f>SUM(L208:L209)</f>
        <v>3344</v>
      </c>
      <c r="M210" s="35"/>
      <c r="N210" s="35"/>
      <c r="O210" s="35"/>
      <c r="P210" s="35">
        <f>SUM(P209)</f>
        <v>2115</v>
      </c>
      <c r="Q210" s="35"/>
      <c r="R210" s="35">
        <f>SUM(R208:R209)</f>
        <v>10938.5</v>
      </c>
      <c r="S210" s="36">
        <f>SUM(S208:S209)</f>
        <v>32815.5</v>
      </c>
    </row>
    <row r="211" spans="1:20" ht="22.2" customHeight="1" x14ac:dyDescent="0.25">
      <c r="A211" s="15"/>
      <c r="B211" s="55" t="s">
        <v>283</v>
      </c>
      <c r="C211" s="85"/>
      <c r="D211" s="85"/>
      <c r="E211" s="94"/>
      <c r="F211" s="85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110"/>
    </row>
    <row r="212" spans="1:20" s="13" customFormat="1" x14ac:dyDescent="0.25">
      <c r="A212" s="20" t="s">
        <v>284</v>
      </c>
      <c r="B212" s="66" t="s">
        <v>130</v>
      </c>
      <c r="C212" s="22">
        <v>0.5</v>
      </c>
      <c r="D212" s="22">
        <v>10</v>
      </c>
      <c r="E212" s="23">
        <v>2907.5</v>
      </c>
      <c r="F212" s="22"/>
      <c r="G212" s="23">
        <f t="shared" ref="G212:G215" si="90">E212+F212</f>
        <v>2907.5</v>
      </c>
      <c r="H212" s="23"/>
      <c r="I212" s="23"/>
      <c r="J212" s="23"/>
      <c r="K212" s="23">
        <f>G212*0.3</f>
        <v>872.25</v>
      </c>
      <c r="L212" s="23">
        <f>13500/2-G212-K212</f>
        <v>2970.25</v>
      </c>
      <c r="M212" s="23"/>
      <c r="N212" s="23"/>
      <c r="O212" s="23"/>
      <c r="P212" s="23"/>
      <c r="Q212" s="23"/>
      <c r="R212" s="23">
        <f>G212+K212+L212</f>
        <v>6750</v>
      </c>
      <c r="S212" s="25">
        <f>R212*3</f>
        <v>20250</v>
      </c>
    </row>
    <row r="213" spans="1:20" x14ac:dyDescent="0.25">
      <c r="A213" s="20" t="s">
        <v>285</v>
      </c>
      <c r="B213" s="21" t="s">
        <v>134</v>
      </c>
      <c r="C213" s="22">
        <v>0.5</v>
      </c>
      <c r="D213" s="22">
        <v>3</v>
      </c>
      <c r="E213" s="23">
        <v>1885</v>
      </c>
      <c r="F213" s="22"/>
      <c r="G213" s="23">
        <f t="shared" si="90"/>
        <v>1885</v>
      </c>
      <c r="H213" s="23"/>
      <c r="I213" s="23">
        <f>G213*0.1</f>
        <v>188.5</v>
      </c>
      <c r="J213" s="23"/>
      <c r="K213" s="23"/>
      <c r="L213" s="23"/>
      <c r="M213" s="23"/>
      <c r="N213" s="23"/>
      <c r="O213" s="23"/>
      <c r="P213" s="23">
        <f>8000/2-G213</f>
        <v>2115</v>
      </c>
      <c r="Q213" s="23"/>
      <c r="R213" s="23">
        <f>SUM(G213:Q213)</f>
        <v>4188.5</v>
      </c>
      <c r="S213" s="25">
        <f t="shared" ref="S213:S214" si="91">R213*3</f>
        <v>12565.5</v>
      </c>
    </row>
    <row r="214" spans="1:20" x14ac:dyDescent="0.25">
      <c r="A214" s="20" t="s">
        <v>286</v>
      </c>
      <c r="B214" s="21" t="s">
        <v>227</v>
      </c>
      <c r="C214" s="22">
        <v>1</v>
      </c>
      <c r="D214" s="22">
        <v>1</v>
      </c>
      <c r="E214" s="23">
        <v>3195</v>
      </c>
      <c r="F214" s="22"/>
      <c r="G214" s="23">
        <f t="shared" si="90"/>
        <v>3195</v>
      </c>
      <c r="H214" s="23"/>
      <c r="I214" s="23"/>
      <c r="J214" s="23"/>
      <c r="K214" s="23"/>
      <c r="L214" s="23"/>
      <c r="M214" s="23"/>
      <c r="N214" s="23"/>
      <c r="O214" s="23"/>
      <c r="P214" s="23">
        <f>8000-G214</f>
        <v>4805</v>
      </c>
      <c r="Q214" s="23"/>
      <c r="R214" s="23">
        <f>E214+P214</f>
        <v>8000</v>
      </c>
      <c r="S214" s="25">
        <f t="shared" si="91"/>
        <v>24000</v>
      </c>
    </row>
    <row r="215" spans="1:20" s="49" customFormat="1" ht="26.4" customHeight="1" thickBot="1" x14ac:dyDescent="0.3">
      <c r="A215" s="118"/>
      <c r="B215" s="47" t="s">
        <v>59</v>
      </c>
      <c r="C215" s="34">
        <f>SUM(C212:C214)</f>
        <v>2</v>
      </c>
      <c r="D215" s="34"/>
      <c r="E215" s="35">
        <f>SUM(E212:E214)</f>
        <v>7987.5</v>
      </c>
      <c r="F215" s="34">
        <f>SUM(F212:F214)</f>
        <v>0</v>
      </c>
      <c r="G215" s="35">
        <f t="shared" si="90"/>
        <v>7987.5</v>
      </c>
      <c r="H215" s="35"/>
      <c r="I215" s="35">
        <f>SUM(I213:I214)</f>
        <v>188.5</v>
      </c>
      <c r="J215" s="35"/>
      <c r="K215" s="35">
        <f>SUM(K212:K214)</f>
        <v>872.25</v>
      </c>
      <c r="L215" s="35">
        <f>SUM(L212:L214)</f>
        <v>2970.25</v>
      </c>
      <c r="M215" s="35"/>
      <c r="N215" s="35"/>
      <c r="O215" s="35"/>
      <c r="P215" s="35">
        <f>P213+P214</f>
        <v>6920</v>
      </c>
      <c r="Q215" s="35"/>
      <c r="R215" s="35">
        <f>SUM(R212:R214)</f>
        <v>18938.5</v>
      </c>
      <c r="S215" s="36">
        <f>SUM(S212:S214)</f>
        <v>56815.5</v>
      </c>
    </row>
    <row r="216" spans="1:20" ht="21" customHeight="1" x14ac:dyDescent="0.25">
      <c r="A216" s="15"/>
      <c r="B216" s="55" t="s">
        <v>287</v>
      </c>
      <c r="C216" s="85"/>
      <c r="D216" s="85"/>
      <c r="E216" s="94"/>
      <c r="F216" s="85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110"/>
    </row>
    <row r="217" spans="1:20" ht="25.2" customHeight="1" x14ac:dyDescent="0.25">
      <c r="A217" s="20" t="s">
        <v>288</v>
      </c>
      <c r="B217" s="21" t="s">
        <v>220</v>
      </c>
      <c r="C217" s="22">
        <v>1</v>
      </c>
      <c r="D217" s="22">
        <v>10</v>
      </c>
      <c r="E217" s="23">
        <v>5815</v>
      </c>
      <c r="F217" s="22"/>
      <c r="G217" s="23">
        <f t="shared" ref="G217:G221" si="92">E217+F217</f>
        <v>5815</v>
      </c>
      <c r="H217" s="23"/>
      <c r="I217" s="23"/>
      <c r="J217" s="23"/>
      <c r="K217" s="23">
        <f>G217*0.3</f>
        <v>1744.5</v>
      </c>
      <c r="L217" s="23">
        <f>R217-K217-G217</f>
        <v>5940.5</v>
      </c>
      <c r="M217" s="23"/>
      <c r="N217" s="23"/>
      <c r="O217" s="23"/>
      <c r="P217" s="23"/>
      <c r="Q217" s="23"/>
      <c r="R217" s="23">
        <v>13500</v>
      </c>
      <c r="S217" s="25">
        <f>R217*3</f>
        <v>40500</v>
      </c>
    </row>
    <row r="218" spans="1:20" ht="24" customHeight="1" x14ac:dyDescent="0.25">
      <c r="A218" s="20" t="s">
        <v>289</v>
      </c>
      <c r="B218" s="21" t="s">
        <v>130</v>
      </c>
      <c r="C218" s="22">
        <v>1</v>
      </c>
      <c r="D218" s="22">
        <v>7</v>
      </c>
      <c r="E218" s="23">
        <v>4920</v>
      </c>
      <c r="F218" s="22"/>
      <c r="G218" s="23">
        <f t="shared" si="92"/>
        <v>4920</v>
      </c>
      <c r="H218" s="23"/>
      <c r="I218" s="23">
        <f>G218*0.1</f>
        <v>492</v>
      </c>
      <c r="J218" s="23"/>
      <c r="K218" s="23">
        <f>G218*0.3</f>
        <v>1476</v>
      </c>
      <c r="L218" s="23">
        <f>13500-G218-I218-K218</f>
        <v>6612</v>
      </c>
      <c r="M218" s="23"/>
      <c r="N218" s="23"/>
      <c r="O218" s="23"/>
      <c r="P218" s="23"/>
      <c r="Q218" s="23"/>
      <c r="R218" s="23">
        <f>G218+I218+K218+L218</f>
        <v>13500</v>
      </c>
      <c r="S218" s="25">
        <f t="shared" ref="S218:S220" si="93">R218*3</f>
        <v>40500</v>
      </c>
    </row>
    <row r="219" spans="1:20" ht="25.2" customHeight="1" x14ac:dyDescent="0.25">
      <c r="A219" s="20" t="s">
        <v>290</v>
      </c>
      <c r="B219" s="21" t="s">
        <v>134</v>
      </c>
      <c r="C219" s="22">
        <v>1</v>
      </c>
      <c r="D219" s="22">
        <v>3</v>
      </c>
      <c r="E219" s="23">
        <v>3770</v>
      </c>
      <c r="F219" s="22"/>
      <c r="G219" s="23">
        <f t="shared" si="92"/>
        <v>3770</v>
      </c>
      <c r="H219" s="23"/>
      <c r="I219" s="23">
        <f>G219*0.1</f>
        <v>377</v>
      </c>
      <c r="J219" s="23"/>
      <c r="K219" s="23"/>
      <c r="L219" s="23"/>
      <c r="M219" s="23"/>
      <c r="N219" s="23"/>
      <c r="O219" s="23"/>
      <c r="P219" s="23">
        <f>8000-G219</f>
        <v>4230</v>
      </c>
      <c r="Q219" s="23"/>
      <c r="R219" s="23">
        <f>SUM(G219:Q219)</f>
        <v>8377</v>
      </c>
      <c r="S219" s="25">
        <f t="shared" si="93"/>
        <v>25131</v>
      </c>
    </row>
    <row r="220" spans="1:20" ht="31.8" customHeight="1" x14ac:dyDescent="0.25">
      <c r="A220" s="20" t="s">
        <v>291</v>
      </c>
      <c r="B220" s="21" t="s">
        <v>227</v>
      </c>
      <c r="C220" s="22">
        <v>1.5</v>
      </c>
      <c r="D220" s="22">
        <v>1</v>
      </c>
      <c r="E220" s="23">
        <f>3195*C220</f>
        <v>4792.5</v>
      </c>
      <c r="F220" s="22"/>
      <c r="G220" s="23">
        <f t="shared" si="92"/>
        <v>4792.5</v>
      </c>
      <c r="H220" s="23"/>
      <c r="I220" s="23"/>
      <c r="J220" s="23"/>
      <c r="K220" s="23"/>
      <c r="L220" s="23"/>
      <c r="M220" s="23"/>
      <c r="N220" s="23"/>
      <c r="O220" s="23"/>
      <c r="P220" s="23">
        <f>8000*C220-G220</f>
        <v>7207.5</v>
      </c>
      <c r="Q220" s="23"/>
      <c r="R220" s="23">
        <f>E220+P220</f>
        <v>12000</v>
      </c>
      <c r="S220" s="25">
        <f t="shared" si="93"/>
        <v>36000</v>
      </c>
    </row>
    <row r="221" spans="1:20" s="27" customFormat="1" ht="26.4" customHeight="1" thickBot="1" x14ac:dyDescent="0.3">
      <c r="A221" s="64"/>
      <c r="B221" s="47" t="s">
        <v>59</v>
      </c>
      <c r="C221" s="34">
        <f>SUM(C217:C220)</f>
        <v>4.5</v>
      </c>
      <c r="D221" s="34"/>
      <c r="E221" s="35">
        <f>SUM(E217:E220)</f>
        <v>19297.5</v>
      </c>
      <c r="F221" s="34">
        <f>SUM(F217:F220)</f>
        <v>0</v>
      </c>
      <c r="G221" s="35">
        <f t="shared" si="92"/>
        <v>19297.5</v>
      </c>
      <c r="H221" s="35"/>
      <c r="I221" s="35">
        <f>SUM(I218:I220)</f>
        <v>869</v>
      </c>
      <c r="J221" s="35"/>
      <c r="K221" s="35">
        <f>K217+K218</f>
        <v>3220.5</v>
      </c>
      <c r="L221" s="35">
        <f>L217+L218</f>
        <v>12552.5</v>
      </c>
      <c r="M221" s="35"/>
      <c r="N221" s="35"/>
      <c r="O221" s="35"/>
      <c r="P221" s="35">
        <f>SUM(P217:P220)</f>
        <v>11437.5</v>
      </c>
      <c r="Q221" s="35"/>
      <c r="R221" s="35">
        <f>SUM(R217:R220)</f>
        <v>47377</v>
      </c>
      <c r="S221" s="36">
        <f>SUM(S217:S220)</f>
        <v>142131</v>
      </c>
    </row>
    <row r="222" spans="1:20" s="13" customFormat="1" ht="22.2" customHeight="1" x14ac:dyDescent="0.2">
      <c r="A222" s="18"/>
      <c r="B222" s="55" t="s">
        <v>292</v>
      </c>
      <c r="C222" s="85"/>
      <c r="D222" s="85"/>
      <c r="E222" s="94"/>
      <c r="F222" s="85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110"/>
    </row>
    <row r="223" spans="1:20" ht="24" customHeight="1" x14ac:dyDescent="0.25">
      <c r="A223" s="20" t="s">
        <v>293</v>
      </c>
      <c r="B223" s="21" t="s">
        <v>220</v>
      </c>
      <c r="C223" s="22">
        <v>1</v>
      </c>
      <c r="D223" s="22">
        <v>10</v>
      </c>
      <c r="E223" s="23">
        <v>5815</v>
      </c>
      <c r="F223" s="22"/>
      <c r="G223" s="23">
        <f t="shared" ref="G223:G225" si="94">E223+F223</f>
        <v>5815</v>
      </c>
      <c r="H223" s="23"/>
      <c r="I223" s="23"/>
      <c r="J223" s="23"/>
      <c r="K223" s="23">
        <f>G223*0.3</f>
        <v>1744.5</v>
      </c>
      <c r="L223" s="23">
        <f>R223-K223-G223</f>
        <v>5940.5</v>
      </c>
      <c r="M223" s="23"/>
      <c r="N223" s="23"/>
      <c r="O223" s="23"/>
      <c r="P223" s="23"/>
      <c r="Q223" s="23"/>
      <c r="R223" s="23">
        <v>13500</v>
      </c>
      <c r="S223" s="25">
        <f>R223*3</f>
        <v>40500</v>
      </c>
    </row>
    <row r="224" spans="1:20" s="38" customFormat="1" ht="25.8" customHeight="1" x14ac:dyDescent="0.25">
      <c r="A224" s="20" t="s">
        <v>294</v>
      </c>
      <c r="B224" s="21" t="s">
        <v>134</v>
      </c>
      <c r="C224" s="22">
        <v>0.5</v>
      </c>
      <c r="D224" s="22">
        <v>3</v>
      </c>
      <c r="E224" s="23">
        <v>1885</v>
      </c>
      <c r="F224" s="22"/>
      <c r="G224" s="23">
        <f t="shared" si="94"/>
        <v>1885</v>
      </c>
      <c r="H224" s="23"/>
      <c r="I224" s="23">
        <f>G224*0.1</f>
        <v>188.5</v>
      </c>
      <c r="J224" s="23"/>
      <c r="K224" s="23"/>
      <c r="L224" s="23"/>
      <c r="M224" s="23"/>
      <c r="N224" s="23"/>
      <c r="O224" s="23"/>
      <c r="P224" s="23">
        <f>8000/2-G224</f>
        <v>2115</v>
      </c>
      <c r="Q224" s="23"/>
      <c r="R224" s="23">
        <f>SUM(G224:Q224)</f>
        <v>4188.5</v>
      </c>
      <c r="S224" s="25">
        <f>R224*3</f>
        <v>12565.5</v>
      </c>
      <c r="T224" s="46"/>
    </row>
    <row r="225" spans="1:19" s="27" customFormat="1" ht="27.6" customHeight="1" thickBot="1" x14ac:dyDescent="0.3">
      <c r="A225" s="64"/>
      <c r="B225" s="47" t="s">
        <v>59</v>
      </c>
      <c r="C225" s="34">
        <f>SUM(C223:C224)</f>
        <v>1.5</v>
      </c>
      <c r="D225" s="34"/>
      <c r="E225" s="35">
        <f>SUM(E223:E224)</f>
        <v>7700</v>
      </c>
      <c r="F225" s="34">
        <f>SUM(F223:F224)</f>
        <v>0</v>
      </c>
      <c r="G225" s="35">
        <f t="shared" si="94"/>
        <v>7700</v>
      </c>
      <c r="H225" s="35"/>
      <c r="I225" s="35">
        <f>SUM(I224)</f>
        <v>188.5</v>
      </c>
      <c r="J225" s="35"/>
      <c r="K225" s="35">
        <f>SUM(K223:K224)</f>
        <v>1744.5</v>
      </c>
      <c r="L225" s="35">
        <f>SUM(L223:L224)</f>
        <v>5940.5</v>
      </c>
      <c r="M225" s="35"/>
      <c r="N225" s="35"/>
      <c r="O225" s="35"/>
      <c r="P225" s="35">
        <f>SUM(P224)</f>
        <v>2115</v>
      </c>
      <c r="Q225" s="35"/>
      <c r="R225" s="35">
        <f>SUM(R223:R224)</f>
        <v>17688.5</v>
      </c>
      <c r="S225" s="36">
        <f>SUM(S223:S224)</f>
        <v>53065.5</v>
      </c>
    </row>
    <row r="226" spans="1:19" ht="22.2" customHeight="1" x14ac:dyDescent="0.25">
      <c r="A226" s="15"/>
      <c r="B226" s="55" t="s">
        <v>295</v>
      </c>
      <c r="C226" s="85"/>
      <c r="D226" s="85"/>
      <c r="E226" s="94"/>
      <c r="F226" s="85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110"/>
    </row>
    <row r="227" spans="1:19" ht="31.2" customHeight="1" x14ac:dyDescent="0.25">
      <c r="A227" s="20" t="s">
        <v>296</v>
      </c>
      <c r="B227" s="21" t="s">
        <v>130</v>
      </c>
      <c r="C227" s="22">
        <v>0.5</v>
      </c>
      <c r="D227" s="22">
        <v>10</v>
      </c>
      <c r="E227" s="23">
        <v>2907.5</v>
      </c>
      <c r="F227" s="22"/>
      <c r="G227" s="23">
        <f t="shared" ref="G227:G228" si="95">E227+F227</f>
        <v>2907.5</v>
      </c>
      <c r="H227" s="23"/>
      <c r="I227" s="23"/>
      <c r="J227" s="23"/>
      <c r="K227" s="23">
        <f>G227*0.3</f>
        <v>872.25</v>
      </c>
      <c r="L227" s="23">
        <f>13500/2-G227-K227</f>
        <v>2970.25</v>
      </c>
      <c r="M227" s="23"/>
      <c r="N227" s="23"/>
      <c r="O227" s="23"/>
      <c r="P227" s="23"/>
      <c r="Q227" s="23"/>
      <c r="R227" s="23">
        <f>G227+K227+L227</f>
        <v>6750</v>
      </c>
      <c r="S227" s="25">
        <f>R227*3</f>
        <v>20250</v>
      </c>
    </row>
    <row r="228" spans="1:19" s="27" customFormat="1" ht="25.8" customHeight="1" thickBot="1" x14ac:dyDescent="0.3">
      <c r="A228" s="64"/>
      <c r="B228" s="47" t="s">
        <v>59</v>
      </c>
      <c r="C228" s="34">
        <f>SUM(C227:C227)</f>
        <v>0.5</v>
      </c>
      <c r="D228" s="34"/>
      <c r="E228" s="35">
        <f>SUM(E227:E227)</f>
        <v>2907.5</v>
      </c>
      <c r="F228" s="34">
        <f>SUM(F227:F227)</f>
        <v>0</v>
      </c>
      <c r="G228" s="35">
        <f t="shared" si="95"/>
        <v>2907.5</v>
      </c>
      <c r="H228" s="35"/>
      <c r="I228" s="35">
        <v>0</v>
      </c>
      <c r="J228" s="35"/>
      <c r="K228" s="35">
        <f>SUM(K227:K227)</f>
        <v>872.25</v>
      </c>
      <c r="L228" s="35">
        <f>SUM(L227:L227)</f>
        <v>2970.25</v>
      </c>
      <c r="M228" s="35"/>
      <c r="N228" s="35"/>
      <c r="O228" s="35"/>
      <c r="P228" s="35">
        <v>0</v>
      </c>
      <c r="Q228" s="35"/>
      <c r="R228" s="35">
        <f>SUM(R227:R227)</f>
        <v>6750</v>
      </c>
      <c r="S228" s="36">
        <f>SUM(S227:S227)</f>
        <v>20250</v>
      </c>
    </row>
    <row r="229" spans="1:19" ht="18.600000000000001" customHeight="1" x14ac:dyDescent="0.25">
      <c r="A229" s="15"/>
      <c r="B229" s="55" t="s">
        <v>298</v>
      </c>
      <c r="C229" s="85"/>
      <c r="D229" s="85"/>
      <c r="E229" s="94"/>
      <c r="F229" s="85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110"/>
    </row>
    <row r="230" spans="1:19" x14ac:dyDescent="0.25">
      <c r="A230" s="20" t="s">
        <v>299</v>
      </c>
      <c r="B230" s="21" t="s">
        <v>130</v>
      </c>
      <c r="C230" s="22">
        <v>0.5</v>
      </c>
      <c r="D230" s="22">
        <v>10</v>
      </c>
      <c r="E230" s="23">
        <v>2907.5</v>
      </c>
      <c r="F230" s="22"/>
      <c r="G230" s="23">
        <f t="shared" ref="G230:G232" si="96">E230+F230</f>
        <v>2907.5</v>
      </c>
      <c r="H230" s="23"/>
      <c r="I230" s="23"/>
      <c r="J230" s="23"/>
      <c r="K230" s="23">
        <f>G230*0.3</f>
        <v>872.25</v>
      </c>
      <c r="L230" s="23">
        <f>13500/2-G230-K230</f>
        <v>2970.25</v>
      </c>
      <c r="M230" s="23"/>
      <c r="N230" s="23"/>
      <c r="O230" s="23"/>
      <c r="P230" s="23"/>
      <c r="Q230" s="23"/>
      <c r="R230" s="23">
        <f>G230+K230+L230</f>
        <v>6750</v>
      </c>
      <c r="S230" s="25">
        <f>R230*3</f>
        <v>20250</v>
      </c>
    </row>
    <row r="231" spans="1:19" s="38" customFormat="1" x14ac:dyDescent="0.25">
      <c r="A231" s="20" t="s">
        <v>300</v>
      </c>
      <c r="B231" s="21" t="s">
        <v>134</v>
      </c>
      <c r="C231" s="22">
        <v>0.25</v>
      </c>
      <c r="D231" s="22">
        <v>3</v>
      </c>
      <c r="E231" s="23">
        <v>942.5</v>
      </c>
      <c r="F231" s="22"/>
      <c r="G231" s="23">
        <f t="shared" si="96"/>
        <v>942.5</v>
      </c>
      <c r="H231" s="23"/>
      <c r="I231" s="23">
        <f>G231*0.1</f>
        <v>94.25</v>
      </c>
      <c r="J231" s="23"/>
      <c r="K231" s="23"/>
      <c r="L231" s="23"/>
      <c r="M231" s="23"/>
      <c r="N231" s="23"/>
      <c r="O231" s="23"/>
      <c r="P231" s="23">
        <f>8000*0.25-G231</f>
        <v>1057.5</v>
      </c>
      <c r="Q231" s="23"/>
      <c r="R231" s="23">
        <f>E231+I231+P231</f>
        <v>2094.25</v>
      </c>
      <c r="S231" s="25">
        <f>R231*3</f>
        <v>6282.75</v>
      </c>
    </row>
    <row r="232" spans="1:19" s="27" customFormat="1" ht="27" customHeight="1" thickBot="1" x14ac:dyDescent="0.3">
      <c r="A232" s="64"/>
      <c r="B232" s="47" t="s">
        <v>59</v>
      </c>
      <c r="C232" s="34">
        <f>SUM(C230:C231)</f>
        <v>0.75</v>
      </c>
      <c r="D232" s="34"/>
      <c r="E232" s="35">
        <f>SUM(E230:E231)</f>
        <v>3850</v>
      </c>
      <c r="F232" s="34">
        <f>SUM(F230:F231)</f>
        <v>0</v>
      </c>
      <c r="G232" s="35">
        <f t="shared" si="96"/>
        <v>3850</v>
      </c>
      <c r="H232" s="35"/>
      <c r="I232" s="35">
        <f>SUM(I231)</f>
        <v>94.25</v>
      </c>
      <c r="J232" s="35"/>
      <c r="K232" s="35">
        <f>SUM(K230:K231)</f>
        <v>872.25</v>
      </c>
      <c r="L232" s="35">
        <f>SUM(L230:L231)</f>
        <v>2970.25</v>
      </c>
      <c r="M232" s="35"/>
      <c r="N232" s="35"/>
      <c r="O232" s="35"/>
      <c r="P232" s="35">
        <f>SUM(P231)</f>
        <v>1057.5</v>
      </c>
      <c r="Q232" s="35"/>
      <c r="R232" s="35">
        <f>SUM(R230:R231)</f>
        <v>8844.25</v>
      </c>
      <c r="S232" s="36">
        <f>SUM(S230:S231)</f>
        <v>26532.75</v>
      </c>
    </row>
    <row r="233" spans="1:19" s="49" customFormat="1" ht="23.25" customHeight="1" thickBot="1" x14ac:dyDescent="0.3">
      <c r="A233" s="67"/>
      <c r="B233" s="119" t="s">
        <v>301</v>
      </c>
      <c r="C233" s="120">
        <f>C27+C38+C46+C41+C54+C60+C81+C127+C111+C117+C140+C151+C157+C164+C171+C180+C185+C225+C221+C215+C201+C206+C228+C232+C191+C210+C196+C144+C121</f>
        <v>190.5</v>
      </c>
      <c r="D233" s="121"/>
      <c r="E233" s="120">
        <f t="shared" ref="E233:S233" si="97">E27+E38+E46+E41+E54+E60+E81+E127+E111+E117+E140+E151+E157+E164+E171+E180+E185+E221+E225+E215+E201+E206+E228+E191+E210+E196+E144+E232+E121</f>
        <v>1093568</v>
      </c>
      <c r="F233" s="120">
        <f t="shared" si="97"/>
        <v>29225.087499999998</v>
      </c>
      <c r="G233" s="120">
        <f t="shared" si="97"/>
        <v>1122793.0874999999</v>
      </c>
      <c r="H233" s="120">
        <f t="shared" si="97"/>
        <v>24384.75</v>
      </c>
      <c r="I233" s="120">
        <f t="shared" si="97"/>
        <v>26547.473749999997</v>
      </c>
      <c r="J233" s="120">
        <f t="shared" si="97"/>
        <v>491.82400000000001</v>
      </c>
      <c r="K233" s="120">
        <f t="shared" si="97"/>
        <v>222104.65124999994</v>
      </c>
      <c r="L233" s="120">
        <f t="shared" si="97"/>
        <v>887144.38749999984</v>
      </c>
      <c r="M233" s="120">
        <f t="shared" si="97"/>
        <v>3750</v>
      </c>
      <c r="N233" s="120">
        <f t="shared" si="97"/>
        <v>24555.780000000006</v>
      </c>
      <c r="O233" s="120">
        <f t="shared" si="97"/>
        <v>144704.25</v>
      </c>
      <c r="P233" s="120">
        <f t="shared" si="97"/>
        <v>245812</v>
      </c>
      <c r="Q233" s="120">
        <f t="shared" si="97"/>
        <v>0</v>
      </c>
      <c r="R233" s="120">
        <f>R27+R38+R46+R41+R54+R60+R81+R127+R111+R117+R140+R151+R157+R164+R171+R180+R185+R221+R225+R215+R201+R206+R228+R191+R210+R196+R144+R232+R121</f>
        <v>2702053.9039999996</v>
      </c>
      <c r="S233" s="120">
        <f t="shared" si="97"/>
        <v>8190660.7620000001</v>
      </c>
    </row>
    <row r="234" spans="1:19" ht="12.6" thickBot="1" x14ac:dyDescent="0.3">
      <c r="F234" s="13"/>
      <c r="I234" s="68"/>
    </row>
    <row r="235" spans="1:19" ht="15.6" customHeight="1" x14ac:dyDescent="0.25">
      <c r="B235" s="69" t="s">
        <v>302</v>
      </c>
      <c r="C235" s="70">
        <f>C48+C49+C56+C57+C58+C63+C64+C65+C66+C67+C68+C123+C124+C83+C84+C85+C86+C87+C88+C89+C100+C94+C90+C95+C91+C74+C98+C96+C93+C92+C101+C99+C102+C113+C114+C133+C129+C134+C135+C146+C153+C159+C166+C173+C174+C175+C182+C141+C69+C70+C71+C72+C73+C119+C120+C97</f>
        <v>49.75</v>
      </c>
      <c r="D235" s="70"/>
      <c r="E235" s="70">
        <f>E48+E49+E56+E57+E58+E63+E64+E65+E66+E67+E68+E123+E124+E83+E84+E85+E86+E87+E88+E89+E100+E94+E90+E95+E91+E74+E98+E96+E93+E92+E101+E99+E102+E113+E114+E133+E129+E134+E135+E146+E153+E159+E166+E173+E174+E175+E182+E141+E69+E70+E71+E72+E73+E119+E120+E97</f>
        <v>348693.5</v>
      </c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>
        <f t="shared" ref="Q235" si="98">Q48+Q49+Q56+Q57+Q58+Q63+Q64+Q65+Q66+Q67+Q68+Q123+Q124+Q83+Q84+Q85+Q86+Q87+Q88+Q89+Q100+Q94+Q90+Q95+Q91+Q74+Q98+Q96+Q93+Q92+Q101+Q99+Q102+Q113+Q114+Q133+Q129+Q134+Q135+Q146+Q153+Q159+Q166+Q173+Q174+Q175+Q182+Q141+Q69+Q70+Q71+Q72+Q73+Q119+Q120</f>
        <v>0</v>
      </c>
      <c r="R235" s="70">
        <f>R48+R49+R56+R57+R58+R63+R64+R65+R66+R67+R68+R123+R124+R83+R84+R85+R86+R87+R88+R89+R100+R94+R90+R95+R91+R74+R98+R96+R93+R92+R101+R99+R102+R113+R114+R133+R129+R134+R135+R146+R153+R159+R166+R173+R174+R175+R182+R141+R69+R70+R71+R72+R73+R119+R120+R97</f>
        <v>980000</v>
      </c>
      <c r="S235" s="70">
        <f>S48+S49+S56+S57+S58+S63+S64+S65+S66+S67+S68+S123+S124+S83+S84+S85+S86+S87+S88+S89+S100+S94+S90+S95+S91+S74+S98+S96+S93+S92+S101+S99+S102+S113+S114+S133+S129+S134+S135+S146+S153+S159+S166+S173+S174+S175+S182+S141+S69+S70+S71+S72+S73+S119+S120+S97</f>
        <v>2940000</v>
      </c>
    </row>
    <row r="236" spans="1:19" ht="15.6" customHeight="1" x14ac:dyDescent="0.25">
      <c r="B236" s="71" t="s">
        <v>303</v>
      </c>
      <c r="C236" s="72">
        <f>C17+C50+C53+C75+C76+C77+C125+C103+C106+C107+C104+C105+C108+C115+C130+C136+C137+C138+C147+C154+C155+C160+C161+C167+C168+C176+C177+C183+C218+C217+C223+C212+C198+C203+C227+C188+C208+C193+C142+C230</f>
        <v>69</v>
      </c>
      <c r="D236" s="72"/>
      <c r="E236" s="123">
        <f>E17+E50+E53+E75+E76+E77+E125+E103+E106+E107+E104+E105+E108+E115+E130+E136+E137+E138+E147+E154+E155+E160+E161+E167+E168+E176+E177+E183+E218+E217+E223+E212+E198+E203+E227+E188+E208+E193+E142+E230</f>
        <v>388174</v>
      </c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>
        <f>Q17+Q50+Q53+Q75+Q76+Q77+Q125+Q103+Q106+Q107+Q104+Q105+Q108+Q115+Q130+Q136+Q137+Q138+Q147+Q154+Q155+Q160+Q161+Q167+Q168+Q176+Q177+Q183+Q218+Q217+Q223+Q212+Q198+Q203+Q227+Q188+Q208+Q193+Q142+Q230</f>
        <v>0</v>
      </c>
      <c r="R236" s="72">
        <f>R17+R50+R53+R75+R76+R77+R125+R103+R106+R107+R104+R105+R108+R115+R130+R136+R137+R138+R147+R154+R155+R160+R161+R167+R168+R176+R177+R183+R218+R217+R223+R212+R198+R203+R227+R188+R208+R193+R142+R230</f>
        <v>941997</v>
      </c>
      <c r="S236" s="89">
        <f>S17+S50+S53+S75+S76+S77+S125+S103+S106+S107+S104+S105+S108+S115+S130+S136+S137+S138+S147+S154+S155+S160+S161+S167+S168+S176+S177+S183+S218+S217+S223+S212+S198+S203+S227+S188+S208+S193+S142+S230</f>
        <v>2825991</v>
      </c>
    </row>
    <row r="237" spans="1:19" ht="15.6" customHeight="1" x14ac:dyDescent="0.25">
      <c r="B237" s="71" t="s">
        <v>304</v>
      </c>
      <c r="C237" s="72">
        <f>C78+C79+C126+C110+C116+C139+C148+C156+C162+C169+C178+C184+C219+C224+C213+C199+C204+C189+C209+C194+C231</f>
        <v>26.75</v>
      </c>
      <c r="D237" s="72"/>
      <c r="E237" s="123">
        <f>E78+E79+E126+E110+E116+E139+E148+E156+E162+E169+E178+E184+E219+E224+E213+E199+E204+E189+E209+E194+E231</f>
        <v>103295.5</v>
      </c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 t="e">
        <f>Q78+Q79+Q126+Q110+Q116+Q139+Q148+Q156+Q162+Q169+Q178+Q184+Q219+Q224+Q213+Q199+Q204+#REF!+Q189+Q209+Q194+Q231</f>
        <v>#REF!</v>
      </c>
      <c r="R237" s="123">
        <f>R78+R79+R126+R110+R116+R139+R148+R156+R162+R169+R178+R184+R219+R224+R213+R199+R204+R189+R209+R194+R231</f>
        <v>230288.83</v>
      </c>
      <c r="S237" s="124">
        <f>S78+S79+S126+S110+S116+S139+S148+S156+S162+S169+S178+S184+S219+S224+S213+S199+S204+S189+S209+S194+S231</f>
        <v>690866.49</v>
      </c>
    </row>
    <row r="238" spans="1:19" ht="15.6" customHeight="1" x14ac:dyDescent="0.25">
      <c r="B238" s="71" t="s">
        <v>305</v>
      </c>
      <c r="C238" s="72">
        <f>C14+C15+C16+C18+C19+C20+C21+C22+C23+C24+C25+C26+C29+C31+C32+C33+C35+C36+C37+C43+C44+C45+C40+C51+C52+C59+C80+C109+C149+C150+C163+C170+C179+C220+C214+C200+C205+C190+C195+C143+C34+C30</f>
        <v>45</v>
      </c>
      <c r="D238" s="72"/>
      <c r="E238" s="123">
        <f>E14+E15+E16+E18+E19+E20+E21+E22+E23+E24+E25+E26+E29+E31+E32+E33+E35+E36+E37+E43+E44+E45+E40+E51+E52+E59+E80+E109+E149+E150+E163+E170+E179+E220+E214+E200+E205+E190+E195+E143+E34+E30</f>
        <v>253405</v>
      </c>
      <c r="F238" s="72"/>
      <c r="G238" s="72"/>
      <c r="H238" s="72" t="s">
        <v>8</v>
      </c>
      <c r="I238" s="72"/>
      <c r="J238" s="72"/>
      <c r="K238" s="72"/>
      <c r="L238" s="72"/>
      <c r="M238" s="72"/>
      <c r="N238" s="72"/>
      <c r="O238" s="72"/>
      <c r="P238" s="72"/>
      <c r="Q238" s="72">
        <f>Q14+Q15+Q16+Q18+Q19+Q20+Q21+Q22+Q23+Q24+Q25+Q26+Q29+Q31+Q32+Q33+Q35+Q36+Q37+Q43+Q44+Q45+Q40+Q51+Q52+Q59+Q80+Q109+Q149+Q150+Q163+Q170+Q179+Q220+Q214+Q200+Q205+Q190+Q195+Q143+Q34</f>
        <v>0</v>
      </c>
      <c r="R238" s="123">
        <f>R14+R15+R16+R18+R19+R20+R21+R22+R23+R24+R25+R26+R29+R31+R32+R33+R35+R36+R37+R43+R44+R45+R40+R51+R52+R59+R80+R109+R149+R150+R163+R170+R179+R220+R214+R200+R205+R190+R195+R143+R34+R30</f>
        <v>549768.07400000002</v>
      </c>
      <c r="S238" s="123">
        <f>S14+S15+S16+S18+S19+S20+S21+S22+S23+S24+S25+S26+S29+S31+S32+S33+S35+S36+S37+S43+S44+S45+S40+S51+S52+S59+S80+S109+S149+S150+S163+S170+S179+S220+S214+S200+S205+S190+S195+S143+S34+S30</f>
        <v>1649304.2219999998</v>
      </c>
    </row>
    <row r="239" spans="1:19" ht="12.6" thickBot="1" x14ac:dyDescent="0.3">
      <c r="B239" s="73" t="s">
        <v>306</v>
      </c>
      <c r="C239" s="74">
        <f>SUBTOTAL(9,C235:C238)</f>
        <v>190.5</v>
      </c>
      <c r="D239" s="74"/>
      <c r="E239" s="75">
        <f>SUBTOTAL(9,E235:E238)</f>
        <v>1093568</v>
      </c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 t="e">
        <f t="shared" ref="Q239:S239" si="99">SUBTOTAL(9,Q235:Q238)</f>
        <v>#REF!</v>
      </c>
      <c r="R239" s="75">
        <f>R235+R236+R237+R238</f>
        <v>2702053.9040000001</v>
      </c>
      <c r="S239" s="76">
        <f t="shared" si="99"/>
        <v>8106161.7120000003</v>
      </c>
    </row>
    <row r="240" spans="1:19" ht="19.95" customHeight="1" x14ac:dyDescent="0.25">
      <c r="R240" s="53"/>
    </row>
    <row r="241" spans="2:10" ht="19.2" customHeight="1" x14ac:dyDescent="0.3">
      <c r="B241" s="77" t="s">
        <v>307</v>
      </c>
      <c r="C241" s="78"/>
      <c r="D241" s="78"/>
      <c r="E241" s="79">
        <f>E239</f>
        <v>1093568</v>
      </c>
      <c r="G241" s="80"/>
      <c r="H241" s="81"/>
      <c r="I241" s="82"/>
    </row>
    <row r="242" spans="2:10" x14ac:dyDescent="0.25">
      <c r="B242" s="77" t="s">
        <v>308</v>
      </c>
      <c r="E242" s="52">
        <f>S233+E241</f>
        <v>9284228.7620000001</v>
      </c>
    </row>
    <row r="244" spans="2:10" ht="15.6" x14ac:dyDescent="0.3">
      <c r="C244" s="83"/>
      <c r="D244" s="83"/>
      <c r="E244" s="83"/>
      <c r="F244" s="83"/>
      <c r="G244" s="83"/>
      <c r="H244" s="83"/>
      <c r="I244" s="83"/>
      <c r="J244" s="83"/>
    </row>
    <row r="245" spans="2:10" ht="15.6" x14ac:dyDescent="0.3">
      <c r="C245" s="83" t="s">
        <v>3</v>
      </c>
      <c r="D245" s="83"/>
      <c r="E245" s="83"/>
      <c r="F245" s="83"/>
      <c r="G245" s="83"/>
      <c r="H245" s="83" t="s">
        <v>309</v>
      </c>
      <c r="I245" s="83"/>
      <c r="J245" s="83"/>
    </row>
    <row r="246" spans="2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2:10" ht="15.6" x14ac:dyDescent="0.3">
      <c r="C247" s="83"/>
      <c r="D247" s="83"/>
      <c r="E247" s="83"/>
      <c r="F247" s="83"/>
      <c r="G247" s="83"/>
      <c r="H247" s="83"/>
      <c r="I247" s="83"/>
      <c r="J247" s="83"/>
    </row>
    <row r="248" spans="2:10" ht="15.6" x14ac:dyDescent="0.3">
      <c r="C248" s="143" t="s">
        <v>39</v>
      </c>
      <c r="D248" s="143"/>
      <c r="E248" s="143"/>
      <c r="F248" s="83"/>
      <c r="G248" s="83"/>
      <c r="H248" s="83" t="s">
        <v>311</v>
      </c>
      <c r="I248" s="83"/>
      <c r="J248" s="83"/>
    </row>
    <row r="249" spans="2:10" ht="15.6" x14ac:dyDescent="0.3">
      <c r="C249" s="83"/>
      <c r="D249" s="84"/>
      <c r="E249" s="84"/>
      <c r="F249" s="83"/>
      <c r="G249" s="83"/>
      <c r="H249" s="83"/>
      <c r="I249" s="83"/>
      <c r="J249" s="83"/>
    </row>
    <row r="250" spans="2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2:10" ht="15.6" x14ac:dyDescent="0.3">
      <c r="C251" s="83" t="s">
        <v>46</v>
      </c>
      <c r="D251" s="83"/>
      <c r="E251" s="83"/>
      <c r="F251" s="83"/>
      <c r="G251" s="83"/>
      <c r="H251" s="83" t="s">
        <v>331</v>
      </c>
      <c r="I251" s="83"/>
      <c r="J251" s="83"/>
    </row>
    <row r="252" spans="2:10" ht="15.6" x14ac:dyDescent="0.3">
      <c r="C252" s="83"/>
      <c r="D252" s="83"/>
      <c r="E252" s="83"/>
      <c r="F252" s="83"/>
      <c r="G252" s="83"/>
      <c r="H252" s="83"/>
      <c r="I252" s="83"/>
      <c r="J252" s="83"/>
    </row>
    <row r="253" spans="2:10" ht="15.6" x14ac:dyDescent="0.3">
      <c r="C253" s="83"/>
      <c r="D253" s="83"/>
      <c r="E253" s="83"/>
      <c r="F253" s="83"/>
      <c r="G253" s="83"/>
      <c r="H253" s="83"/>
      <c r="I253" s="83"/>
      <c r="J253" s="83"/>
    </row>
    <row r="254" spans="2:10" ht="15.6" x14ac:dyDescent="0.3">
      <c r="C254" s="143"/>
      <c r="D254" s="144"/>
      <c r="E254" s="144"/>
      <c r="F254" s="83"/>
      <c r="G254" s="83"/>
      <c r="H254" s="83"/>
      <c r="I254" s="83"/>
      <c r="J254" s="83"/>
    </row>
    <row r="255" spans="2:10" ht="15.6" x14ac:dyDescent="0.3">
      <c r="C255" s="83"/>
      <c r="D255" s="84"/>
      <c r="E255" s="84"/>
      <c r="F255" s="83"/>
      <c r="G255" s="83"/>
      <c r="H255" s="83"/>
      <c r="I255" s="83"/>
      <c r="J255" s="83"/>
    </row>
    <row r="256" spans="2:10" ht="15.6" x14ac:dyDescent="0.3">
      <c r="C256" s="83"/>
      <c r="D256" s="83"/>
      <c r="E256" s="83"/>
      <c r="F256" s="83"/>
      <c r="G256" s="83"/>
      <c r="H256" s="83"/>
      <c r="I256" s="83"/>
      <c r="J256" s="83"/>
    </row>
    <row r="257" spans="3:10" ht="15.6" x14ac:dyDescent="0.3">
      <c r="C257" s="83"/>
      <c r="D257" s="83"/>
      <c r="E257" s="83"/>
      <c r="F257" s="83"/>
      <c r="G257" s="83"/>
      <c r="H257" s="83"/>
      <c r="I257" s="83"/>
      <c r="J257" s="83"/>
    </row>
  </sheetData>
  <mergeCells count="29">
    <mergeCell ref="B1:S1"/>
    <mergeCell ref="M2:S2"/>
    <mergeCell ref="B3:D3"/>
    <mergeCell ref="M3:S3"/>
    <mergeCell ref="B5:D5"/>
    <mergeCell ref="M5:P5"/>
    <mergeCell ref="A11:A12"/>
    <mergeCell ref="B11:B12"/>
    <mergeCell ref="C11:C12"/>
    <mergeCell ref="D11:D12"/>
    <mergeCell ref="E11:E12"/>
    <mergeCell ref="M6:S6"/>
    <mergeCell ref="O8:P8"/>
    <mergeCell ref="S8:AH8"/>
    <mergeCell ref="B9:R9"/>
    <mergeCell ref="B10:R10"/>
    <mergeCell ref="S11:S12"/>
    <mergeCell ref="C248:E248"/>
    <mergeCell ref="F11:F12"/>
    <mergeCell ref="G11:G12"/>
    <mergeCell ref="H11:K11"/>
    <mergeCell ref="L11:L12"/>
    <mergeCell ref="M11:M12"/>
    <mergeCell ref="N11:N12"/>
    <mergeCell ref="C254:E254"/>
    <mergeCell ref="O11:O12"/>
    <mergeCell ref="P11:P12"/>
    <mergeCell ref="Q11:Q12"/>
    <mergeCell ref="R11:R12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930A3-756E-4400-AA53-EEE49A5655D4}">
  <dimension ref="A1:AI257"/>
  <sheetViews>
    <sheetView view="pageBreakPreview" topLeftCell="A118" zoomScale="70" zoomScaleNormal="70" zoomScaleSheetLayoutView="70" workbookViewId="0">
      <selection activeCell="AC191" sqref="AC191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2" width="11.33203125" style="2" customWidth="1"/>
    <col min="13" max="13" width="10.21875" style="2" customWidth="1"/>
    <col min="14" max="14" width="9.88671875" style="2" customWidth="1"/>
    <col min="15" max="15" width="12.5546875" style="2" customWidth="1"/>
    <col min="16" max="16" width="9.44140625" style="2" customWidth="1"/>
    <col min="17" max="17" width="0.21875" style="2" customWidth="1"/>
    <col min="18" max="18" width="10.5546875" style="2" customWidth="1"/>
    <col min="19" max="19" width="11.1093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4"/>
      <c r="S1" s="16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63"/>
      <c r="N2" s="164"/>
      <c r="O2" s="164"/>
      <c r="P2" s="164"/>
      <c r="Q2" s="164"/>
      <c r="R2" s="164"/>
      <c r="S2" s="164"/>
    </row>
    <row r="3" spans="1:35" ht="40.799999999999997" customHeight="1" x14ac:dyDescent="0.35">
      <c r="B3" s="165" t="s">
        <v>0</v>
      </c>
      <c r="C3" s="166"/>
      <c r="D3" s="166"/>
      <c r="E3" s="4"/>
      <c r="F3" s="4"/>
      <c r="G3" s="4"/>
      <c r="H3" s="4"/>
      <c r="I3" s="4"/>
      <c r="J3" s="4"/>
      <c r="K3" s="4"/>
      <c r="L3" s="4"/>
      <c r="M3" s="167" t="s">
        <v>348</v>
      </c>
      <c r="N3" s="168"/>
      <c r="O3" s="168"/>
      <c r="P3" s="168"/>
      <c r="Q3" s="168"/>
      <c r="R3" s="168"/>
      <c r="S3" s="168"/>
    </row>
    <row r="4" spans="1:35" ht="17.399999999999999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 t="s">
        <v>347</v>
      </c>
      <c r="N4"/>
      <c r="O4"/>
      <c r="P4"/>
      <c r="Q4"/>
      <c r="R4"/>
      <c r="S4"/>
    </row>
    <row r="5" spans="1:35" ht="17.399999999999999" x14ac:dyDescent="0.3">
      <c r="B5" s="169" t="s">
        <v>2</v>
      </c>
      <c r="C5" s="169"/>
      <c r="D5" s="169"/>
      <c r="G5" s="8"/>
      <c r="H5" s="8"/>
      <c r="I5" s="8"/>
      <c r="J5" s="8"/>
      <c r="K5" s="8"/>
      <c r="L5" s="8"/>
      <c r="M5" s="143"/>
      <c r="N5" s="144"/>
      <c r="O5" s="144"/>
      <c r="P5" s="144"/>
      <c r="Q5" s="9"/>
      <c r="R5" s="9"/>
      <c r="S5" s="3"/>
    </row>
    <row r="6" spans="1:35" ht="29.4" customHeight="1" x14ac:dyDescent="0.3">
      <c r="B6" s="10"/>
      <c r="G6" s="11"/>
      <c r="H6" s="12"/>
      <c r="M6" s="155"/>
      <c r="N6" s="144"/>
      <c r="O6" s="144"/>
      <c r="P6" s="144"/>
      <c r="Q6" s="144"/>
      <c r="R6" s="144"/>
      <c r="S6" s="144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6" t="s">
        <v>350</v>
      </c>
      <c r="P8" s="157"/>
      <c r="Q8" s="13"/>
      <c r="R8" s="13"/>
      <c r="S8" s="158" t="s">
        <v>6</v>
      </c>
      <c r="T8" s="158"/>
      <c r="U8" s="158"/>
      <c r="V8" s="158"/>
      <c r="W8" s="158"/>
      <c r="X8" s="158"/>
      <c r="Y8" s="158"/>
      <c r="Z8" s="158"/>
      <c r="AA8" s="158"/>
      <c r="AB8" s="158"/>
      <c r="AC8" s="158"/>
      <c r="AD8" s="158"/>
      <c r="AE8" s="158"/>
      <c r="AF8" s="158"/>
      <c r="AG8" s="158"/>
      <c r="AH8" s="158"/>
      <c r="AI8" s="14"/>
    </row>
    <row r="9" spans="1:35" ht="23.4" customHeight="1" x14ac:dyDescent="0.3">
      <c r="B9" s="159" t="s">
        <v>7</v>
      </c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4" t="s">
        <v>8</v>
      </c>
    </row>
    <row r="10" spans="1:35" ht="27.6" customHeight="1" thickBot="1" x14ac:dyDescent="0.35">
      <c r="B10" s="160" t="s">
        <v>344</v>
      </c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</row>
    <row r="11" spans="1:35" ht="37.950000000000003" customHeight="1" x14ac:dyDescent="0.25">
      <c r="A11" s="161"/>
      <c r="B11" s="149" t="s">
        <v>10</v>
      </c>
      <c r="C11" s="151" t="s">
        <v>11</v>
      </c>
      <c r="D11" s="151" t="s">
        <v>12</v>
      </c>
      <c r="E11" s="151" t="s">
        <v>13</v>
      </c>
      <c r="F11" s="151" t="s">
        <v>14</v>
      </c>
      <c r="G11" s="151" t="s">
        <v>15</v>
      </c>
      <c r="H11" s="151" t="s">
        <v>16</v>
      </c>
      <c r="I11" s="151"/>
      <c r="J11" s="151"/>
      <c r="K11" s="151"/>
      <c r="L11" s="147" t="s">
        <v>17</v>
      </c>
      <c r="M11" s="147" t="s">
        <v>18</v>
      </c>
      <c r="N11" s="147" t="s">
        <v>19</v>
      </c>
      <c r="O11" s="145" t="s">
        <v>20</v>
      </c>
      <c r="P11" s="147" t="s">
        <v>21</v>
      </c>
      <c r="Q11" s="149"/>
      <c r="R11" s="151" t="s">
        <v>22</v>
      </c>
      <c r="S11" s="153" t="s">
        <v>345</v>
      </c>
    </row>
    <row r="12" spans="1:35" ht="64.95" customHeight="1" thickBot="1" x14ac:dyDescent="0.3">
      <c r="A12" s="162"/>
      <c r="B12" s="150"/>
      <c r="C12" s="152"/>
      <c r="D12" s="152"/>
      <c r="E12" s="152"/>
      <c r="F12" s="152"/>
      <c r="G12" s="152"/>
      <c r="H12" s="16" t="s">
        <v>24</v>
      </c>
      <c r="I12" s="17" t="s">
        <v>25</v>
      </c>
      <c r="J12" s="17" t="s">
        <v>26</v>
      </c>
      <c r="K12" s="16" t="s">
        <v>27</v>
      </c>
      <c r="L12" s="148"/>
      <c r="M12" s="148"/>
      <c r="N12" s="148"/>
      <c r="O12" s="146"/>
      <c r="P12" s="148"/>
      <c r="Q12" s="150"/>
      <c r="R12" s="152"/>
      <c r="S12" s="154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R14*12</f>
        <v>645000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37" si="0">R15*12</f>
        <v>270000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270000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6315</v>
      </c>
      <c r="F17" s="23"/>
      <c r="G17" s="23">
        <f>E17</f>
        <v>6315</v>
      </c>
      <c r="H17" s="23">
        <f>G17*0.5</f>
        <v>3157.5</v>
      </c>
      <c r="I17" s="23" t="s">
        <v>37</v>
      </c>
      <c r="J17" s="24"/>
      <c r="K17" s="22">
        <f>G17*0.3</f>
        <v>1894.5</v>
      </c>
      <c r="L17" s="23"/>
      <c r="M17" s="24"/>
      <c r="N17" s="23"/>
      <c r="O17" s="26">
        <f>G17*200%</f>
        <v>12630</v>
      </c>
      <c r="P17" s="24"/>
      <c r="Q17" s="22"/>
      <c r="R17" s="23">
        <f>N17+K17+H17+E17+L17+O17</f>
        <v>23997</v>
      </c>
      <c r="S17" s="25">
        <f t="shared" si="0"/>
        <v>287964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6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480000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5691*C19</f>
        <v>11382</v>
      </c>
      <c r="F19" s="23"/>
      <c r="G19" s="23">
        <f t="shared" si="1"/>
        <v>11382</v>
      </c>
      <c r="H19" s="23">
        <f t="shared" ref="H19:H26" si="2">G19*0.5</f>
        <v>5691</v>
      </c>
      <c r="I19" s="23"/>
      <c r="J19" s="23"/>
      <c r="K19" s="23"/>
      <c r="L19" s="23" t="s">
        <v>44</v>
      </c>
      <c r="M19" s="23"/>
      <c r="N19" s="23"/>
      <c r="O19" s="23">
        <f>E19*200%</f>
        <v>22764</v>
      </c>
      <c r="P19" s="23" t="s">
        <v>8</v>
      </c>
      <c r="Q19" s="23"/>
      <c r="R19" s="23">
        <f>G19+H19+O19</f>
        <v>39837</v>
      </c>
      <c r="S19" s="25">
        <f t="shared" si="0"/>
        <v>478044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9</v>
      </c>
      <c r="E20" s="23">
        <v>6003</v>
      </c>
      <c r="F20" s="23"/>
      <c r="G20" s="23">
        <f t="shared" si="1"/>
        <v>6003</v>
      </c>
      <c r="H20" s="23">
        <f t="shared" si="2"/>
        <v>3001.5</v>
      </c>
      <c r="I20" s="23"/>
      <c r="J20" s="23"/>
      <c r="K20" s="23"/>
      <c r="L20" s="23" t="s">
        <v>44</v>
      </c>
      <c r="M20" s="23"/>
      <c r="N20" s="23"/>
      <c r="O20" s="23">
        <f>E20*200%</f>
        <v>12006</v>
      </c>
      <c r="P20" s="23" t="s">
        <v>8</v>
      </c>
      <c r="Q20" s="23"/>
      <c r="R20" s="23">
        <f>G20+H20+O20</f>
        <v>21010.5</v>
      </c>
      <c r="S20" s="25">
        <f t="shared" si="0"/>
        <v>252126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5691</v>
      </c>
      <c r="F21" s="22"/>
      <c r="G21" s="23">
        <f t="shared" si="1"/>
        <v>5691</v>
      </c>
      <c r="H21" s="23">
        <f t="shared" si="2"/>
        <v>2845.5</v>
      </c>
      <c r="I21" s="24"/>
      <c r="J21" s="24"/>
      <c r="K21" s="22"/>
      <c r="L21" s="24"/>
      <c r="M21" s="24"/>
      <c r="N21" s="23"/>
      <c r="O21" s="23">
        <f>G21*200%</f>
        <v>11382</v>
      </c>
      <c r="P21" s="24"/>
      <c r="Q21" s="22"/>
      <c r="R21" s="23">
        <f t="shared" ref="R21:R25" si="3">G21+H21+O21</f>
        <v>19918.5</v>
      </c>
      <c r="S21" s="25">
        <f t="shared" si="0"/>
        <v>239022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5032</v>
      </c>
      <c r="F22" s="22"/>
      <c r="G22" s="23">
        <f t="shared" si="1"/>
        <v>5032</v>
      </c>
      <c r="H22" s="22">
        <f t="shared" si="2"/>
        <v>2516</v>
      </c>
      <c r="I22" s="24"/>
      <c r="J22" s="24"/>
      <c r="K22" s="22"/>
      <c r="L22" s="24"/>
      <c r="M22" s="24"/>
      <c r="N22" s="23"/>
      <c r="O22" s="23">
        <f>G22*200%</f>
        <v>10064</v>
      </c>
      <c r="P22" s="24"/>
      <c r="Q22" s="22"/>
      <c r="R22" s="23">
        <f t="shared" si="3"/>
        <v>17612</v>
      </c>
      <c r="S22" s="25">
        <f t="shared" si="0"/>
        <v>211344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5032*C23</f>
        <v>2516</v>
      </c>
      <c r="F23" s="22"/>
      <c r="G23" s="23">
        <f t="shared" si="1"/>
        <v>2516</v>
      </c>
      <c r="H23" s="22">
        <f t="shared" si="2"/>
        <v>1258</v>
      </c>
      <c r="I23" s="24"/>
      <c r="J23" s="24"/>
      <c r="K23" s="22"/>
      <c r="L23" s="24"/>
      <c r="M23" s="24"/>
      <c r="N23" s="23"/>
      <c r="O23" s="23">
        <f>G23*150%</f>
        <v>3774</v>
      </c>
      <c r="P23" s="24"/>
      <c r="Q23" s="22"/>
      <c r="R23" s="23">
        <f t="shared" si="3"/>
        <v>7548</v>
      </c>
      <c r="S23" s="25">
        <f t="shared" si="0"/>
        <v>90576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4407</v>
      </c>
      <c r="F24" s="22"/>
      <c r="G24" s="23">
        <f t="shared" si="1"/>
        <v>4407</v>
      </c>
      <c r="H24" s="22">
        <f t="shared" si="2"/>
        <v>2203.5</v>
      </c>
      <c r="I24" s="24"/>
      <c r="J24" s="24"/>
      <c r="K24" s="22"/>
      <c r="L24" s="24"/>
      <c r="M24" s="24"/>
      <c r="N24" s="23"/>
      <c r="O24" s="23">
        <f>G24*200%</f>
        <v>8814</v>
      </c>
      <c r="P24" s="24"/>
      <c r="Q24" s="22"/>
      <c r="R24" s="23">
        <f t="shared" si="3"/>
        <v>15424.5</v>
      </c>
      <c r="S24" s="25">
        <f t="shared" si="0"/>
        <v>185094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6003</v>
      </c>
      <c r="F25" s="23"/>
      <c r="G25" s="23">
        <f t="shared" si="1"/>
        <v>6003</v>
      </c>
      <c r="H25" s="23">
        <f t="shared" si="2"/>
        <v>3001.5</v>
      </c>
      <c r="I25" s="23"/>
      <c r="J25" s="23"/>
      <c r="K25" s="23"/>
      <c r="L25" s="23"/>
      <c r="M25" s="23"/>
      <c r="N25" s="23"/>
      <c r="O25" s="23">
        <f>G25*150%</f>
        <v>9004.5</v>
      </c>
      <c r="P25" s="23"/>
      <c r="Q25" s="23"/>
      <c r="R25" s="23">
        <f t="shared" si="3"/>
        <v>18009</v>
      </c>
      <c r="S25" s="25">
        <f t="shared" si="0"/>
        <v>216108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4407*C26</f>
        <v>4407</v>
      </c>
      <c r="F26" s="22"/>
      <c r="G26" s="23">
        <f t="shared" si="1"/>
        <v>4407</v>
      </c>
      <c r="H26" s="22">
        <f t="shared" si="2"/>
        <v>2203.5</v>
      </c>
      <c r="I26" s="24"/>
      <c r="J26" s="24"/>
      <c r="K26" s="22"/>
      <c r="L26" s="24"/>
      <c r="M26" s="24"/>
      <c r="N26" s="23"/>
      <c r="O26" s="23">
        <f>G26*150%</f>
        <v>6610.5</v>
      </c>
      <c r="P26" s="24"/>
      <c r="Q26" s="22"/>
      <c r="R26" s="23">
        <f>G26+H26+O26</f>
        <v>13221</v>
      </c>
      <c r="S26" s="25">
        <f t="shared" si="0"/>
        <v>158652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141756</v>
      </c>
      <c r="F27" s="34"/>
      <c r="G27" s="35">
        <f>SUM(G14:G26)</f>
        <v>141756</v>
      </c>
      <c r="H27" s="34">
        <f>SUM(H14:H26)</f>
        <v>25878</v>
      </c>
      <c r="I27" s="90"/>
      <c r="J27" s="90"/>
      <c r="K27" s="34">
        <f>SUM(K14:K26)</f>
        <v>1894.5</v>
      </c>
      <c r="L27" s="90"/>
      <c r="M27" s="34">
        <f>SUM(M14:M26)</f>
        <v>3750</v>
      </c>
      <c r="N27" s="35"/>
      <c r="O27" s="35">
        <f>SUM(O14:O26)</f>
        <v>142049</v>
      </c>
      <c r="P27" s="90"/>
      <c r="Q27" s="34"/>
      <c r="R27" s="35">
        <f>SUM(R14:R26)</f>
        <v>315327.5</v>
      </c>
      <c r="S27" s="25">
        <f t="shared" si="0"/>
        <v>3783930</v>
      </c>
    </row>
    <row r="28" spans="1:19" s="13" customFormat="1" ht="25.2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25"/>
    </row>
    <row r="29" spans="1:19" x14ac:dyDescent="0.25">
      <c r="A29" s="20" t="s">
        <v>61</v>
      </c>
      <c r="B29" s="21" t="s">
        <v>62</v>
      </c>
      <c r="C29" s="22">
        <v>0.5</v>
      </c>
      <c r="D29" s="22">
        <v>7</v>
      </c>
      <c r="E29" s="23">
        <f>5344*C29</f>
        <v>2672</v>
      </c>
      <c r="F29" s="22"/>
      <c r="G29" s="23">
        <f t="shared" ref="G29:G32" si="4">E29+F29</f>
        <v>2672</v>
      </c>
      <c r="H29" s="23"/>
      <c r="I29" s="23"/>
      <c r="J29" s="23"/>
      <c r="K29" s="23"/>
      <c r="L29" s="23"/>
      <c r="M29" s="23"/>
      <c r="N29" s="23"/>
      <c r="O29" s="23"/>
      <c r="P29" s="23">
        <f>8647*C29-G29</f>
        <v>1651.5</v>
      </c>
      <c r="Q29" s="23"/>
      <c r="R29" s="23">
        <f>G29+H29+I29+ J29+K29+L29+N29+O29+P29</f>
        <v>4323.5</v>
      </c>
      <c r="S29" s="25">
        <f t="shared" si="0"/>
        <v>51882</v>
      </c>
    </row>
    <row r="30" spans="1:19" x14ac:dyDescent="0.25">
      <c r="A30" s="20" t="s">
        <v>61</v>
      </c>
      <c r="B30" s="21" t="s">
        <v>328</v>
      </c>
      <c r="C30" s="22">
        <v>0.5</v>
      </c>
      <c r="D30" s="22">
        <v>6</v>
      </c>
      <c r="E30" s="23">
        <f>5032*C30</f>
        <v>2516</v>
      </c>
      <c r="F30" s="22"/>
      <c r="G30" s="23">
        <f t="shared" si="4"/>
        <v>2516</v>
      </c>
      <c r="H30" s="23"/>
      <c r="I30" s="23"/>
      <c r="J30" s="23"/>
      <c r="K30" s="23"/>
      <c r="L30" s="23"/>
      <c r="M30" s="23"/>
      <c r="N30" s="23"/>
      <c r="O30" s="23"/>
      <c r="P30" s="23">
        <f>8647*C30-G30</f>
        <v>1807.5</v>
      </c>
      <c r="Q30" s="23"/>
      <c r="R30" s="23">
        <f>G30+H30+I30+ J30+K30+L30+N30+O30+P30</f>
        <v>4323.5</v>
      </c>
      <c r="S30" s="25">
        <f t="shared" si="0"/>
        <v>51882</v>
      </c>
    </row>
    <row r="31" spans="1:19" x14ac:dyDescent="0.25">
      <c r="A31" s="20" t="s">
        <v>63</v>
      </c>
      <c r="B31" s="21" t="s">
        <v>64</v>
      </c>
      <c r="C31" s="22">
        <v>0.5</v>
      </c>
      <c r="D31" s="22">
        <v>1</v>
      </c>
      <c r="E31" s="23">
        <f>3470*C31</f>
        <v>1735</v>
      </c>
      <c r="F31" s="22"/>
      <c r="G31" s="23">
        <f t="shared" si="4"/>
        <v>1735</v>
      </c>
      <c r="H31" s="23"/>
      <c r="I31" s="23"/>
      <c r="J31" s="23"/>
      <c r="K31" s="23"/>
      <c r="L31" s="23"/>
      <c r="M31" s="23"/>
      <c r="N31" s="23"/>
      <c r="O31" s="23"/>
      <c r="P31" s="23">
        <f>8647*C31-E31</f>
        <v>2588.5</v>
      </c>
      <c r="Q31" s="23"/>
      <c r="R31" s="23">
        <f t="shared" ref="R31:R32" si="5">G31+H31+I31+ J31+K31+L31+N31+O31+P31</f>
        <v>4323.5</v>
      </c>
      <c r="S31" s="25">
        <f t="shared" si="0"/>
        <v>51882</v>
      </c>
    </row>
    <row r="32" spans="1:19" x14ac:dyDescent="0.25">
      <c r="A32" s="20" t="s">
        <v>65</v>
      </c>
      <c r="B32" s="21" t="s">
        <v>66</v>
      </c>
      <c r="C32" s="22">
        <v>1.5</v>
      </c>
      <c r="D32" s="22">
        <v>1</v>
      </c>
      <c r="E32" s="23">
        <f>3470*C32</f>
        <v>5205</v>
      </c>
      <c r="F32" s="22"/>
      <c r="G32" s="23">
        <f t="shared" si="4"/>
        <v>5205</v>
      </c>
      <c r="H32" s="23"/>
      <c r="I32" s="23"/>
      <c r="J32" s="23"/>
      <c r="K32" s="23"/>
      <c r="L32" s="23"/>
      <c r="M32" s="23"/>
      <c r="N32" s="23"/>
      <c r="O32" s="23"/>
      <c r="P32" s="23">
        <f>8647*C32-G32</f>
        <v>7765.5</v>
      </c>
      <c r="Q32" s="23"/>
      <c r="R32" s="23">
        <f t="shared" si="5"/>
        <v>12970.5</v>
      </c>
      <c r="S32" s="25">
        <f t="shared" si="0"/>
        <v>155646</v>
      </c>
    </row>
    <row r="33" spans="1:19" x14ac:dyDescent="0.25">
      <c r="A33" s="20" t="s">
        <v>67</v>
      </c>
      <c r="B33" s="21" t="s">
        <v>68</v>
      </c>
      <c r="C33" s="22">
        <v>1.5</v>
      </c>
      <c r="D33" s="22">
        <v>3</v>
      </c>
      <c r="E33" s="23">
        <f>4095*C33</f>
        <v>6142.5</v>
      </c>
      <c r="F33" s="22"/>
      <c r="G33" s="23">
        <f t="shared" si="1"/>
        <v>6142.5</v>
      </c>
      <c r="H33" s="23"/>
      <c r="I33" s="23"/>
      <c r="J33" s="23"/>
      <c r="K33" s="23"/>
      <c r="L33" s="23"/>
      <c r="M33" s="23"/>
      <c r="N33" s="23"/>
      <c r="O33" s="23"/>
      <c r="P33" s="23">
        <f>8647*C33-G33</f>
        <v>6828</v>
      </c>
      <c r="Q33" s="23"/>
      <c r="R33" s="23">
        <f>G33+H33+I33+ J33+K33+L33+N33+O33+P33</f>
        <v>12970.5</v>
      </c>
      <c r="S33" s="25">
        <f t="shared" si="0"/>
        <v>155646</v>
      </c>
    </row>
    <row r="34" spans="1:19" ht="24" x14ac:dyDescent="0.25">
      <c r="A34" s="20" t="s">
        <v>67</v>
      </c>
      <c r="B34" s="21" t="s">
        <v>315</v>
      </c>
      <c r="C34" s="22">
        <v>0.5</v>
      </c>
      <c r="D34" s="22">
        <v>3</v>
      </c>
      <c r="E34" s="23">
        <f>4095*C34</f>
        <v>2047.5</v>
      </c>
      <c r="F34" s="22"/>
      <c r="G34" s="23">
        <f t="shared" si="1"/>
        <v>2047.5</v>
      </c>
      <c r="H34" s="23"/>
      <c r="I34" s="23"/>
      <c r="J34" s="23"/>
      <c r="K34" s="23"/>
      <c r="L34" s="23"/>
      <c r="M34" s="23"/>
      <c r="N34" s="23"/>
      <c r="O34" s="23"/>
      <c r="P34" s="23">
        <f>8647*C34-G34</f>
        <v>2276</v>
      </c>
      <c r="Q34" s="23"/>
      <c r="R34" s="23">
        <f>G34+H34+I34+ J34+K34+L34+N34+O34+P34</f>
        <v>4323.5</v>
      </c>
      <c r="S34" s="25">
        <f t="shared" si="0"/>
        <v>51882</v>
      </c>
    </row>
    <row r="35" spans="1:19" ht="12.6" customHeight="1" x14ac:dyDescent="0.25">
      <c r="A35" s="20" t="s">
        <v>69</v>
      </c>
      <c r="B35" s="21" t="s">
        <v>70</v>
      </c>
      <c r="C35" s="22">
        <v>1</v>
      </c>
      <c r="D35" s="22">
        <v>2</v>
      </c>
      <c r="E35" s="23">
        <f>3782*C35</f>
        <v>3782</v>
      </c>
      <c r="F35" s="22">
        <f>E35*0.2</f>
        <v>756.40000000000009</v>
      </c>
      <c r="G35" s="23">
        <f t="shared" si="1"/>
        <v>4538.3999999999996</v>
      </c>
      <c r="H35" s="23"/>
      <c r="I35" s="23"/>
      <c r="J35" s="23">
        <f>G35*4%</f>
        <v>181.536</v>
      </c>
      <c r="K35" s="23"/>
      <c r="L35" s="23"/>
      <c r="M35" s="23"/>
      <c r="N35" s="23"/>
      <c r="O35" s="23"/>
      <c r="P35" s="23">
        <f>8647-E35</f>
        <v>4865</v>
      </c>
      <c r="Q35" s="23"/>
      <c r="R35" s="23">
        <f>G35+J35+P35</f>
        <v>9584.9359999999997</v>
      </c>
      <c r="S35" s="25">
        <f t="shared" si="0"/>
        <v>115019.23199999999</v>
      </c>
    </row>
    <row r="36" spans="1:19" ht="18" customHeight="1" x14ac:dyDescent="0.25">
      <c r="A36" s="20" t="s">
        <v>71</v>
      </c>
      <c r="B36" s="21" t="s">
        <v>72</v>
      </c>
      <c r="C36" s="22">
        <v>1</v>
      </c>
      <c r="D36" s="22">
        <v>1</v>
      </c>
      <c r="E36" s="23">
        <f>3470*C36</f>
        <v>3470</v>
      </c>
      <c r="F36" s="22"/>
      <c r="G36" s="23">
        <f t="shared" si="1"/>
        <v>3470</v>
      </c>
      <c r="H36" s="23"/>
      <c r="I36" s="23"/>
      <c r="J36" s="23"/>
      <c r="K36" s="23"/>
      <c r="L36" s="23"/>
      <c r="M36" s="23"/>
      <c r="N36" s="23"/>
      <c r="O36" s="23"/>
      <c r="P36" s="23">
        <f>8647-G36</f>
        <v>5177</v>
      </c>
      <c r="Q36" s="23"/>
      <c r="R36" s="23">
        <f t="shared" ref="R36" si="6">G36+H36+I36+ J36+K36+L36+N36+O36+P36</f>
        <v>8647</v>
      </c>
      <c r="S36" s="25">
        <f t="shared" si="0"/>
        <v>103764</v>
      </c>
    </row>
    <row r="37" spans="1:19" x14ac:dyDescent="0.25">
      <c r="A37" s="20" t="s">
        <v>73</v>
      </c>
      <c r="B37" s="21" t="s">
        <v>74</v>
      </c>
      <c r="C37" s="22">
        <v>1</v>
      </c>
      <c r="D37" s="22">
        <v>5</v>
      </c>
      <c r="E37" s="23">
        <f>4719*C37</f>
        <v>4719</v>
      </c>
      <c r="F37" s="23"/>
      <c r="G37" s="23">
        <f>E37+F37</f>
        <v>4719</v>
      </c>
      <c r="H37" s="23"/>
      <c r="I37" s="23"/>
      <c r="J37" s="23"/>
      <c r="K37" s="23"/>
      <c r="L37" s="23"/>
      <c r="M37" s="23"/>
      <c r="N37" s="23"/>
      <c r="O37" s="23"/>
      <c r="P37" s="23">
        <f>8647-G37</f>
        <v>3928</v>
      </c>
      <c r="Q37" s="32"/>
      <c r="R37" s="23">
        <f>G37+P37</f>
        <v>8647</v>
      </c>
      <c r="S37" s="25">
        <f t="shared" si="0"/>
        <v>103764</v>
      </c>
    </row>
    <row r="38" spans="1:19" s="27" customFormat="1" ht="20.399999999999999" customHeight="1" thickBot="1" x14ac:dyDescent="0.3">
      <c r="A38" s="64"/>
      <c r="B38" s="47" t="s">
        <v>59</v>
      </c>
      <c r="C38" s="34">
        <f>SUM(C29:C37)</f>
        <v>8</v>
      </c>
      <c r="D38" s="34"/>
      <c r="E38" s="35">
        <f>SUM(E29:E37)</f>
        <v>32289</v>
      </c>
      <c r="F38" s="34">
        <f>SUM(F29:F37)</f>
        <v>756.40000000000009</v>
      </c>
      <c r="G38" s="35">
        <f>E38+F38</f>
        <v>33045.4</v>
      </c>
      <c r="H38" s="35"/>
      <c r="I38" s="35">
        <f>SUM(I29:I36)</f>
        <v>0</v>
      </c>
      <c r="J38" s="35">
        <f>SUM(J29:J36)</f>
        <v>181.536</v>
      </c>
      <c r="K38" s="35"/>
      <c r="L38" s="35"/>
      <c r="M38" s="35"/>
      <c r="N38" s="35"/>
      <c r="O38" s="35"/>
      <c r="P38" s="35">
        <f>SUM(P29:P37)</f>
        <v>36887</v>
      </c>
      <c r="Q38" s="35"/>
      <c r="R38" s="35">
        <f>SUM(R29:R37)</f>
        <v>70113.936000000002</v>
      </c>
      <c r="S38" s="36">
        <f>SUM(S29:S37)</f>
        <v>841367.23199999996</v>
      </c>
    </row>
    <row r="39" spans="1:19" ht="15.6" customHeight="1" x14ac:dyDescent="0.25">
      <c r="A39" s="18"/>
      <c r="B39" s="86" t="s">
        <v>75</v>
      </c>
      <c r="C39" s="85"/>
      <c r="D39" s="85"/>
      <c r="E39" s="85"/>
      <c r="F39" s="85"/>
      <c r="G39" s="94"/>
      <c r="H39" s="85" t="s">
        <v>76</v>
      </c>
      <c r="I39" s="95"/>
      <c r="J39" s="95"/>
      <c r="K39" s="85"/>
      <c r="L39" s="95"/>
      <c r="M39" s="95"/>
      <c r="N39" s="95"/>
      <c r="O39" s="95"/>
      <c r="P39" s="95"/>
      <c r="Q39" s="85"/>
      <c r="R39" s="85"/>
      <c r="S39" s="96"/>
    </row>
    <row r="40" spans="1:19" s="13" customFormat="1" x14ac:dyDescent="0.2">
      <c r="A40" s="28" t="s">
        <v>77</v>
      </c>
      <c r="B40" s="21" t="s">
        <v>78</v>
      </c>
      <c r="C40" s="22">
        <v>2.5</v>
      </c>
      <c r="D40" s="22">
        <v>2</v>
      </c>
      <c r="E40" s="23">
        <f>3782*C40</f>
        <v>9455</v>
      </c>
      <c r="F40" s="22"/>
      <c r="G40" s="23">
        <f t="shared" ref="G40:G41" si="7">E40+F40</f>
        <v>9455</v>
      </c>
      <c r="H40" s="23"/>
      <c r="I40" s="23"/>
      <c r="J40" s="23"/>
      <c r="K40" s="23"/>
      <c r="L40" s="23"/>
      <c r="M40" s="23"/>
      <c r="N40" s="23"/>
      <c r="O40" s="23"/>
      <c r="P40" s="23">
        <f>8647*C40-G40</f>
        <v>12162.5</v>
      </c>
      <c r="Q40" s="23"/>
      <c r="R40" s="23">
        <f t="shared" ref="R40" si="8">G40+H40+I40+ J40+K40+L40+N40+O40+P40</f>
        <v>21617.5</v>
      </c>
      <c r="S40" s="25">
        <f>R40*12</f>
        <v>259410</v>
      </c>
    </row>
    <row r="41" spans="1:19" s="37" customFormat="1" ht="16.8" customHeight="1" thickBot="1" x14ac:dyDescent="0.3">
      <c r="A41" s="33"/>
      <c r="B41" s="47" t="s">
        <v>59</v>
      </c>
      <c r="C41" s="34">
        <f>SUM(C40:C40)</f>
        <v>2.5</v>
      </c>
      <c r="D41" s="34"/>
      <c r="E41" s="35">
        <f>SUM(E40:E40)</f>
        <v>9455</v>
      </c>
      <c r="F41" s="34"/>
      <c r="G41" s="35">
        <f t="shared" si="7"/>
        <v>9455</v>
      </c>
      <c r="H41" s="35"/>
      <c r="I41" s="35"/>
      <c r="J41" s="35"/>
      <c r="K41" s="35"/>
      <c r="L41" s="35"/>
      <c r="M41" s="35"/>
      <c r="N41" s="35"/>
      <c r="O41" s="35"/>
      <c r="P41" s="35">
        <f>SUM(P40:P40)</f>
        <v>12162.5</v>
      </c>
      <c r="Q41" s="35"/>
      <c r="R41" s="35">
        <f>SUM(G41:Q41)</f>
        <v>21617.5</v>
      </c>
      <c r="S41" s="36">
        <f>SUM(S40:S40)</f>
        <v>259410</v>
      </c>
    </row>
    <row r="42" spans="1:19" s="38" customFormat="1" ht="17.399999999999999" customHeight="1" x14ac:dyDescent="0.25">
      <c r="A42" s="18"/>
      <c r="B42" s="86" t="s">
        <v>79</v>
      </c>
      <c r="C42" s="86"/>
      <c r="D42" s="86"/>
      <c r="E42" s="86"/>
      <c r="F42" s="86"/>
      <c r="G42" s="94"/>
      <c r="H42" s="86"/>
      <c r="I42" s="19"/>
      <c r="J42" s="19"/>
      <c r="K42" s="86"/>
      <c r="L42" s="19"/>
      <c r="M42" s="19"/>
      <c r="N42" s="19"/>
      <c r="O42" s="19"/>
      <c r="P42" s="19"/>
      <c r="Q42" s="86"/>
      <c r="R42" s="86"/>
      <c r="S42" s="87"/>
    </row>
    <row r="43" spans="1:19" s="38" customFormat="1" ht="16.95" customHeight="1" x14ac:dyDescent="0.25">
      <c r="A43" s="20" t="s">
        <v>80</v>
      </c>
      <c r="B43" s="21" t="s">
        <v>64</v>
      </c>
      <c r="C43" s="22">
        <v>0.5</v>
      </c>
      <c r="D43" s="22">
        <v>1</v>
      </c>
      <c r="E43" s="22">
        <f>3470*C43</f>
        <v>1735</v>
      </c>
      <c r="F43" s="22"/>
      <c r="G43" s="22">
        <f>E43+F43</f>
        <v>1735</v>
      </c>
      <c r="H43" s="22"/>
      <c r="I43" s="24"/>
      <c r="J43" s="24"/>
      <c r="K43" s="22"/>
      <c r="L43" s="24"/>
      <c r="M43" s="24"/>
      <c r="N43" s="24"/>
      <c r="O43" s="24"/>
      <c r="P43" s="23">
        <f>8647*C43-E43</f>
        <v>2588.5</v>
      </c>
      <c r="Q43" s="22"/>
      <c r="R43" s="23">
        <f t="shared" ref="R43" si="9">G43+H43+I43+ J43+K43+L43+N43+O43+P43</f>
        <v>4323.5</v>
      </c>
      <c r="S43" s="25">
        <f>R43*12</f>
        <v>51882</v>
      </c>
    </row>
    <row r="44" spans="1:19" x14ac:dyDescent="0.25">
      <c r="A44" s="20" t="s">
        <v>81</v>
      </c>
      <c r="B44" s="21" t="s">
        <v>82</v>
      </c>
      <c r="C44" s="22">
        <v>2</v>
      </c>
      <c r="D44" s="22">
        <v>4</v>
      </c>
      <c r="E44" s="23">
        <f>4407*C44</f>
        <v>8814</v>
      </c>
      <c r="F44" s="22"/>
      <c r="G44" s="23">
        <f t="shared" ref="G44:G45" si="10">E44+F44</f>
        <v>8814</v>
      </c>
      <c r="H44" s="23"/>
      <c r="I44" s="23"/>
      <c r="J44" s="23">
        <f>G44*0.04</f>
        <v>352.56</v>
      </c>
      <c r="K44" s="23"/>
      <c r="L44" s="23"/>
      <c r="M44" s="23"/>
      <c r="N44" s="23"/>
      <c r="O44" s="23"/>
      <c r="P44" s="23">
        <f>8647*C44-G44</f>
        <v>8480</v>
      </c>
      <c r="Q44" s="23"/>
      <c r="R44" s="23">
        <f>SUM(G44:P44)</f>
        <v>17646.559999999998</v>
      </c>
      <c r="S44" s="25">
        <f t="shared" ref="S44:S45" si="11">R44*12</f>
        <v>211758.71999999997</v>
      </c>
    </row>
    <row r="45" spans="1:19" x14ac:dyDescent="0.25">
      <c r="A45" s="20" t="s">
        <v>83</v>
      </c>
      <c r="B45" s="21" t="s">
        <v>84</v>
      </c>
      <c r="C45" s="22">
        <v>2</v>
      </c>
      <c r="D45" s="22">
        <v>1</v>
      </c>
      <c r="E45" s="23">
        <f>3470*C45</f>
        <v>6940</v>
      </c>
      <c r="F45" s="22"/>
      <c r="G45" s="23">
        <f t="shared" si="10"/>
        <v>6940</v>
      </c>
      <c r="H45" s="23"/>
      <c r="I45" s="23">
        <f>G45*0.1</f>
        <v>694</v>
      </c>
      <c r="J45" s="23"/>
      <c r="K45" s="23"/>
      <c r="L45" s="23"/>
      <c r="M45" s="23"/>
      <c r="N45" s="23"/>
      <c r="O45" s="23"/>
      <c r="P45" s="23">
        <f>8647*C45-G45</f>
        <v>10354</v>
      </c>
      <c r="Q45" s="23"/>
      <c r="R45" s="23">
        <f>SUM(G45:P45)</f>
        <v>17988</v>
      </c>
      <c r="S45" s="25">
        <f t="shared" si="11"/>
        <v>215856</v>
      </c>
    </row>
    <row r="46" spans="1:19" s="37" customFormat="1" ht="18" customHeight="1" thickBot="1" x14ac:dyDescent="0.3">
      <c r="A46" s="33"/>
      <c r="B46" s="47" t="s">
        <v>59</v>
      </c>
      <c r="C46" s="34">
        <f>SUM(C43:C45)</f>
        <v>4.5</v>
      </c>
      <c r="D46" s="34"/>
      <c r="E46" s="35">
        <f>SUM(E43:E45)</f>
        <v>17489</v>
      </c>
      <c r="F46" s="34"/>
      <c r="G46" s="35">
        <f>SUM(G43:G45)</f>
        <v>17489</v>
      </c>
      <c r="H46" s="35"/>
      <c r="I46" s="35">
        <f>SUM(I45:I45)</f>
        <v>694</v>
      </c>
      <c r="J46" s="35">
        <f>SUM(J44:J45)</f>
        <v>352.56</v>
      </c>
      <c r="K46" s="35"/>
      <c r="L46" s="35"/>
      <c r="M46" s="35"/>
      <c r="N46" s="35"/>
      <c r="O46" s="35"/>
      <c r="P46" s="35">
        <f>SUM(P43:P45)</f>
        <v>21422.5</v>
      </c>
      <c r="Q46" s="35"/>
      <c r="R46" s="35">
        <f>SUM(R43:R45)</f>
        <v>39958.06</v>
      </c>
      <c r="S46" s="36">
        <f>SUM(S43:S45)</f>
        <v>479496.72</v>
      </c>
    </row>
    <row r="47" spans="1:19" s="39" customFormat="1" ht="13.5" customHeight="1" x14ac:dyDescent="0.25">
      <c r="A47" s="98" t="s">
        <v>316</v>
      </c>
      <c r="B47" s="99" t="s">
        <v>85</v>
      </c>
      <c r="C47" s="100"/>
      <c r="D47" s="100"/>
      <c r="E47" s="101"/>
      <c r="F47" s="100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2"/>
    </row>
    <row r="48" spans="1:19" s="42" customFormat="1" x14ac:dyDescent="0.25">
      <c r="A48" s="43" t="s">
        <v>86</v>
      </c>
      <c r="B48" s="21" t="s">
        <v>87</v>
      </c>
      <c r="C48" s="22">
        <v>0.5</v>
      </c>
      <c r="D48" s="22">
        <v>10</v>
      </c>
      <c r="E48" s="23">
        <f>6315*C48</f>
        <v>3157.5</v>
      </c>
      <c r="F48" s="22"/>
      <c r="G48" s="23">
        <f>E48</f>
        <v>3157.5</v>
      </c>
      <c r="H48" s="23"/>
      <c r="I48" s="23"/>
      <c r="J48" s="40"/>
      <c r="K48" s="23">
        <f>G48*0.3</f>
        <v>947.25</v>
      </c>
      <c r="L48" s="41">
        <f>20000*C48-G48-K48</f>
        <v>5895.25</v>
      </c>
      <c r="M48" s="23"/>
      <c r="N48" s="23"/>
      <c r="O48" s="23"/>
      <c r="P48" s="23"/>
      <c r="Q48" s="23"/>
      <c r="R48" s="23">
        <f>G48+K48+L48</f>
        <v>10000</v>
      </c>
      <c r="S48" s="25">
        <f>R48*12</f>
        <v>120000</v>
      </c>
    </row>
    <row r="49" spans="1:20" s="42" customFormat="1" x14ac:dyDescent="0.25">
      <c r="A49" s="43" t="s">
        <v>88</v>
      </c>
      <c r="B49" s="21" t="s">
        <v>89</v>
      </c>
      <c r="C49" s="22">
        <v>3</v>
      </c>
      <c r="D49" s="22">
        <v>9</v>
      </c>
      <c r="E49" s="23">
        <f>6003*C49</f>
        <v>18009</v>
      </c>
      <c r="F49" s="22"/>
      <c r="G49" s="23">
        <f>E49</f>
        <v>18009</v>
      </c>
      <c r="H49" s="23"/>
      <c r="I49" s="23"/>
      <c r="J49" s="40"/>
      <c r="K49" s="23"/>
      <c r="L49" s="41">
        <f>15000*C49-G49-K49</f>
        <v>26991</v>
      </c>
      <c r="M49" s="23"/>
      <c r="N49" s="23"/>
      <c r="O49" s="23"/>
      <c r="P49" s="23"/>
      <c r="Q49" s="23"/>
      <c r="R49" s="23">
        <f>G49+K49+L49</f>
        <v>45000</v>
      </c>
      <c r="S49" s="25">
        <f t="shared" ref="S49:S53" si="12">R49*12</f>
        <v>540000</v>
      </c>
    </row>
    <row r="50" spans="1:20" s="42" customFormat="1" x14ac:dyDescent="0.25">
      <c r="A50" s="43" t="s">
        <v>90</v>
      </c>
      <c r="B50" s="21" t="s">
        <v>91</v>
      </c>
      <c r="C50" s="22">
        <v>1</v>
      </c>
      <c r="D50" s="22">
        <v>10</v>
      </c>
      <c r="E50" s="23">
        <f>6315*C50</f>
        <v>6315</v>
      </c>
      <c r="F50" s="22"/>
      <c r="G50" s="23">
        <f>E50</f>
        <v>6315</v>
      </c>
      <c r="H50" s="23"/>
      <c r="I50" s="23"/>
      <c r="J50" s="40"/>
      <c r="K50" s="23">
        <f>G50*0.3</f>
        <v>1894.5</v>
      </c>
      <c r="L50" s="41">
        <f>13500-G50-K50</f>
        <v>5290.5</v>
      </c>
      <c r="M50" s="23"/>
      <c r="N50" s="23"/>
      <c r="O50" s="23"/>
      <c r="P50" s="23"/>
      <c r="Q50" s="23"/>
      <c r="R50" s="23">
        <f>G50+K50+L50</f>
        <v>13500</v>
      </c>
      <c r="S50" s="25">
        <f t="shared" si="12"/>
        <v>162000</v>
      </c>
    </row>
    <row r="51" spans="1:20" s="42" customFormat="1" x14ac:dyDescent="0.25">
      <c r="A51" s="43" t="s">
        <v>92</v>
      </c>
      <c r="B51" s="21" t="s">
        <v>93</v>
      </c>
      <c r="C51" s="22">
        <v>1</v>
      </c>
      <c r="D51" s="22">
        <v>4</v>
      </c>
      <c r="E51" s="23">
        <f>4407*C51</f>
        <v>4407</v>
      </c>
      <c r="F51" s="22"/>
      <c r="G51" s="23">
        <f>E51</f>
        <v>4407</v>
      </c>
      <c r="H51" s="23"/>
      <c r="I51" s="23"/>
      <c r="J51" s="40"/>
      <c r="K51" s="23"/>
      <c r="L51" s="23"/>
      <c r="M51" s="23"/>
      <c r="N51" s="23"/>
      <c r="O51" s="23">
        <f>G51*200%</f>
        <v>8814</v>
      </c>
      <c r="P51" s="23"/>
      <c r="Q51" s="23"/>
      <c r="R51" s="23">
        <f>O51+G51</f>
        <v>13221</v>
      </c>
      <c r="S51" s="25">
        <f t="shared" si="12"/>
        <v>158652</v>
      </c>
    </row>
    <row r="52" spans="1:20" s="42" customFormat="1" x14ac:dyDescent="0.25">
      <c r="A52" s="43" t="s">
        <v>94</v>
      </c>
      <c r="B52" s="21" t="s">
        <v>95</v>
      </c>
      <c r="C52" s="22">
        <v>1</v>
      </c>
      <c r="D52" s="22">
        <v>5</v>
      </c>
      <c r="E52" s="23">
        <f>4719*C52</f>
        <v>4719</v>
      </c>
      <c r="F52" s="23"/>
      <c r="G52" s="23">
        <f>E52+F52</f>
        <v>4719</v>
      </c>
      <c r="H52" s="23"/>
      <c r="I52" s="23"/>
      <c r="J52" s="23"/>
      <c r="K52" s="23"/>
      <c r="L52" s="23"/>
      <c r="M52" s="23"/>
      <c r="N52" s="23"/>
      <c r="O52" s="23"/>
      <c r="P52" s="23">
        <f>8647-G52</f>
        <v>3928</v>
      </c>
      <c r="Q52" s="32"/>
      <c r="R52" s="23">
        <f>G52+P52</f>
        <v>8647</v>
      </c>
      <c r="S52" s="25">
        <f t="shared" si="12"/>
        <v>103764</v>
      </c>
    </row>
    <row r="53" spans="1:20" x14ac:dyDescent="0.25">
      <c r="A53" s="43" t="s">
        <v>96</v>
      </c>
      <c r="B53" s="21" t="s">
        <v>97</v>
      </c>
      <c r="C53" s="22">
        <v>0.5</v>
      </c>
      <c r="D53" s="22">
        <v>9</v>
      </c>
      <c r="E53" s="23">
        <f>6003*C53</f>
        <v>3001.5</v>
      </c>
      <c r="F53" s="22"/>
      <c r="G53" s="23">
        <f t="shared" ref="G53" si="13">E53+F53</f>
        <v>3001.5</v>
      </c>
      <c r="H53" s="23"/>
      <c r="I53" s="23"/>
      <c r="J53" s="23"/>
      <c r="K53" s="23">
        <f>G53*0.3</f>
        <v>900.44999999999993</v>
      </c>
      <c r="L53" s="23">
        <f>6750-G53-K53</f>
        <v>2848.05</v>
      </c>
      <c r="M53" s="23"/>
      <c r="N53" s="23"/>
      <c r="O53" s="23"/>
      <c r="P53" s="23"/>
      <c r="Q53" s="23"/>
      <c r="R53" s="23">
        <f>L53+K53+G53</f>
        <v>6750</v>
      </c>
      <c r="S53" s="25">
        <f t="shared" si="12"/>
        <v>81000</v>
      </c>
    </row>
    <row r="54" spans="1:20" s="45" customFormat="1" ht="13.8" customHeight="1" thickBot="1" x14ac:dyDescent="0.25">
      <c r="A54" s="103"/>
      <c r="B54" s="104" t="s">
        <v>59</v>
      </c>
      <c r="C54" s="105">
        <f>SUM(C48:C53)</f>
        <v>7</v>
      </c>
      <c r="D54" s="105"/>
      <c r="E54" s="106">
        <f>SUM(E48:E53)</f>
        <v>39609</v>
      </c>
      <c r="F54" s="105"/>
      <c r="G54" s="106">
        <f>SUM(G48:G53)</f>
        <v>39609</v>
      </c>
      <c r="H54" s="106"/>
      <c r="I54" s="106"/>
      <c r="J54" s="106"/>
      <c r="K54" s="106">
        <f>SUM(K48:K53)</f>
        <v>3742.2</v>
      </c>
      <c r="L54" s="106">
        <f>SUM(L48:L53)</f>
        <v>41024.800000000003</v>
      </c>
      <c r="M54" s="106"/>
      <c r="N54" s="106"/>
      <c r="O54" s="106">
        <f>SUM(O48:O52)</f>
        <v>8814</v>
      </c>
      <c r="P54" s="106">
        <f>SUM(P48:P53)</f>
        <v>3928</v>
      </c>
      <c r="Q54" s="106"/>
      <c r="R54" s="106">
        <f>SUM(R48:R53)</f>
        <v>97118</v>
      </c>
      <c r="S54" s="107">
        <f>SUM(S48:S53)</f>
        <v>1165416</v>
      </c>
    </row>
    <row r="55" spans="1:20" s="38" customFormat="1" ht="22.8" customHeight="1" x14ac:dyDescent="0.25">
      <c r="A55" s="108"/>
      <c r="B55" s="86" t="s">
        <v>98</v>
      </c>
      <c r="C55" s="85"/>
      <c r="D55" s="85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109"/>
      <c r="R55" s="94"/>
      <c r="S55" s="110"/>
      <c r="T55" s="46"/>
    </row>
    <row r="56" spans="1:20" s="38" customFormat="1" x14ac:dyDescent="0.25">
      <c r="A56" s="43" t="s">
        <v>99</v>
      </c>
      <c r="B56" s="21" t="s">
        <v>100</v>
      </c>
      <c r="C56" s="22">
        <v>0.25</v>
      </c>
      <c r="D56" s="22">
        <v>14</v>
      </c>
      <c r="E56" s="23">
        <f>8397*C56</f>
        <v>2099.25</v>
      </c>
      <c r="F56" s="23">
        <f>E56*10%</f>
        <v>209.92500000000001</v>
      </c>
      <c r="G56" s="23">
        <f>E56+F56</f>
        <v>2309.1750000000002</v>
      </c>
      <c r="H56" s="23"/>
      <c r="I56" s="23"/>
      <c r="J56" s="23"/>
      <c r="K56" s="23">
        <f>G56*0.3</f>
        <v>692.75250000000005</v>
      </c>
      <c r="L56" s="23">
        <f>20000*C56-G56-K56</f>
        <v>1998.0724999999998</v>
      </c>
      <c r="M56" s="23"/>
      <c r="N56" s="23"/>
      <c r="O56" s="23"/>
      <c r="P56" s="23"/>
      <c r="Q56" s="32"/>
      <c r="R56" s="23">
        <f>G56+K56+L56</f>
        <v>5000</v>
      </c>
      <c r="S56" s="25">
        <f>R56*12</f>
        <v>60000</v>
      </c>
      <c r="T56" s="46"/>
    </row>
    <row r="57" spans="1:20" s="38" customFormat="1" x14ac:dyDescent="0.25">
      <c r="A57" s="43" t="s">
        <v>101</v>
      </c>
      <c r="B57" s="21" t="s">
        <v>102</v>
      </c>
      <c r="C57" s="22">
        <v>0.5</v>
      </c>
      <c r="D57" s="22">
        <v>13</v>
      </c>
      <c r="E57" s="23">
        <f>7877*C57</f>
        <v>3938.5</v>
      </c>
      <c r="F57" s="23">
        <f>E57*0.15</f>
        <v>590.77499999999998</v>
      </c>
      <c r="G57" s="23">
        <f>E57+F57</f>
        <v>4529.2749999999996</v>
      </c>
      <c r="H57" s="23"/>
      <c r="I57" s="23"/>
      <c r="J57" s="23"/>
      <c r="K57" s="23">
        <f>G57*0.3</f>
        <v>1358.7824999999998</v>
      </c>
      <c r="L57" s="23">
        <f>20000*C57-G57-K57</f>
        <v>4111.942500000001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ref="S57:S59" si="14">R57*12</f>
        <v>120000</v>
      </c>
      <c r="T57" s="46"/>
    </row>
    <row r="58" spans="1:20" s="38" customFormat="1" x14ac:dyDescent="0.25">
      <c r="A58" s="43" t="s">
        <v>103</v>
      </c>
      <c r="B58" s="21" t="s">
        <v>104</v>
      </c>
      <c r="C58" s="22">
        <v>0.5</v>
      </c>
      <c r="D58" s="22">
        <v>13</v>
      </c>
      <c r="E58" s="23">
        <f>7877*C58</f>
        <v>3938.5</v>
      </c>
      <c r="F58" s="23">
        <f>E58*0.15</f>
        <v>590.77499999999998</v>
      </c>
      <c r="G58" s="23">
        <f>E58+F58</f>
        <v>4529.2749999999996</v>
      </c>
      <c r="H58" s="23"/>
      <c r="I58" s="23"/>
      <c r="J58" s="23"/>
      <c r="K58" s="23">
        <f>G58*0.3</f>
        <v>1358.7824999999998</v>
      </c>
      <c r="L58" s="23">
        <f>10000-G58-K58</f>
        <v>4111.942500000001</v>
      </c>
      <c r="M58" s="23"/>
      <c r="N58" s="23"/>
      <c r="O58" s="23"/>
      <c r="P58" s="23"/>
      <c r="Q58" s="32"/>
      <c r="R58" s="23">
        <f>G58+K58+L58</f>
        <v>10000</v>
      </c>
      <c r="S58" s="25">
        <f t="shared" si="14"/>
        <v>120000</v>
      </c>
      <c r="T58" s="46"/>
    </row>
    <row r="59" spans="1:20" s="38" customFormat="1" x14ac:dyDescent="0.25">
      <c r="A59" s="43" t="s">
        <v>105</v>
      </c>
      <c r="B59" s="21" t="s">
        <v>106</v>
      </c>
      <c r="C59" s="22">
        <v>1</v>
      </c>
      <c r="D59" s="22">
        <v>5</v>
      </c>
      <c r="E59" s="23">
        <f>4719*C59</f>
        <v>4719</v>
      </c>
      <c r="F59" s="23"/>
      <c r="G59" s="23">
        <f>E59+F59</f>
        <v>4719</v>
      </c>
      <c r="H59" s="23"/>
      <c r="I59" s="23"/>
      <c r="J59" s="23"/>
      <c r="K59" s="23"/>
      <c r="L59" s="23"/>
      <c r="M59" s="23"/>
      <c r="N59" s="23"/>
      <c r="O59" s="23"/>
      <c r="P59" s="23">
        <f>8647-G59</f>
        <v>3928</v>
      </c>
      <c r="Q59" s="32"/>
      <c r="R59" s="23">
        <f>G59+P59</f>
        <v>8647</v>
      </c>
      <c r="S59" s="25">
        <f t="shared" si="14"/>
        <v>103764</v>
      </c>
      <c r="T59" s="46"/>
    </row>
    <row r="60" spans="1:20" s="49" customFormat="1" ht="20.399999999999999" customHeight="1" thickBot="1" x14ac:dyDescent="0.3">
      <c r="A60" s="64"/>
      <c r="B60" s="47" t="s">
        <v>59</v>
      </c>
      <c r="C60" s="34">
        <v>2.25</v>
      </c>
      <c r="D60" s="34"/>
      <c r="E60" s="35">
        <f>SUM(E56:E59)</f>
        <v>14695.25</v>
      </c>
      <c r="F60" s="35">
        <f t="shared" ref="F60" si="15">SUM(F56:F59)</f>
        <v>1391.4749999999999</v>
      </c>
      <c r="G60" s="35">
        <f>SUM(G56:G59)</f>
        <v>16086.724999999999</v>
      </c>
      <c r="H60" s="35"/>
      <c r="I60" s="35"/>
      <c r="J60" s="35"/>
      <c r="K60" s="35">
        <f t="shared" ref="K60:L60" si="16">SUM(K56:K59)</f>
        <v>3410.3174999999997</v>
      </c>
      <c r="L60" s="35">
        <f t="shared" si="16"/>
        <v>10221.957500000002</v>
      </c>
      <c r="M60" s="35"/>
      <c r="N60" s="35"/>
      <c r="O60" s="35"/>
      <c r="P60" s="35">
        <f t="shared" ref="P60:Q60" si="17">SUM(P56:P59)</f>
        <v>3928</v>
      </c>
      <c r="Q60" s="35">
        <f t="shared" si="17"/>
        <v>0</v>
      </c>
      <c r="R60" s="35">
        <f>SUM(G60:Q60)</f>
        <v>33647</v>
      </c>
      <c r="S60" s="36">
        <f>SUM(S56:S59)</f>
        <v>403764</v>
      </c>
      <c r="T60" s="48"/>
    </row>
    <row r="61" spans="1:20" ht="24" customHeight="1" x14ac:dyDescent="0.25">
      <c r="A61" s="18"/>
      <c r="B61" s="86" t="s">
        <v>107</v>
      </c>
      <c r="C61" s="86"/>
      <c r="D61" s="86"/>
      <c r="E61" s="92"/>
      <c r="F61" s="86"/>
      <c r="G61" s="94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3"/>
    </row>
    <row r="62" spans="1:20" s="13" customFormat="1" ht="38.4" customHeight="1" x14ac:dyDescent="0.2">
      <c r="A62" s="28"/>
      <c r="B62" s="29" t="s">
        <v>108</v>
      </c>
      <c r="C62" s="22"/>
      <c r="D62" s="22"/>
      <c r="E62" s="23"/>
      <c r="F62" s="22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5"/>
    </row>
    <row r="63" spans="1:20" ht="13.95" customHeight="1" x14ac:dyDescent="0.25">
      <c r="A63" s="20" t="s">
        <v>109</v>
      </c>
      <c r="B63" s="21" t="s">
        <v>110</v>
      </c>
      <c r="C63" s="22">
        <v>1</v>
      </c>
      <c r="D63" s="22">
        <v>11</v>
      </c>
      <c r="E63" s="23">
        <f>6836*C63</f>
        <v>6836</v>
      </c>
      <c r="F63" s="22">
        <f>E63*0.25</f>
        <v>1709</v>
      </c>
      <c r="G63" s="23">
        <f t="shared" ref="G63:G126" si="18">E63+F63</f>
        <v>8545</v>
      </c>
      <c r="H63" s="23"/>
      <c r="I63" s="23"/>
      <c r="J63" s="23"/>
      <c r="K63" s="23">
        <f>G63*0.3</f>
        <v>2563.5</v>
      </c>
      <c r="L63" s="41">
        <f>20000-G63-K63</f>
        <v>8891.5</v>
      </c>
      <c r="M63" s="23"/>
      <c r="N63" s="23"/>
      <c r="O63" s="23"/>
      <c r="P63" s="23"/>
      <c r="Q63" s="23"/>
      <c r="R63" s="23">
        <f t="shared" ref="R63:R75" si="19">G63+K63+L63</f>
        <v>20000</v>
      </c>
      <c r="S63" s="25">
        <f>R63*12</f>
        <v>240000</v>
      </c>
    </row>
    <row r="64" spans="1:20" x14ac:dyDescent="0.25">
      <c r="A64" s="20" t="s">
        <v>111</v>
      </c>
      <c r="B64" s="21" t="s">
        <v>112</v>
      </c>
      <c r="C64" s="22">
        <v>1.25</v>
      </c>
      <c r="D64" s="22">
        <v>12</v>
      </c>
      <c r="E64" s="23">
        <f>7356*C64</f>
        <v>9195</v>
      </c>
      <c r="F64" s="22"/>
      <c r="G64" s="23">
        <f t="shared" si="18"/>
        <v>9195</v>
      </c>
      <c r="H64" s="23"/>
      <c r="I64" s="23"/>
      <c r="J64" s="23"/>
      <c r="K64" s="23">
        <f t="shared" ref="K64:K77" si="20">G64*0.3</f>
        <v>2758.5</v>
      </c>
      <c r="L64" s="23">
        <f>20000*C64-G64-K64</f>
        <v>13046.5</v>
      </c>
      <c r="M64" s="23"/>
      <c r="N64" s="23"/>
      <c r="O64" s="23"/>
      <c r="P64" s="23"/>
      <c r="Q64" s="23"/>
      <c r="R64" s="23">
        <f t="shared" si="19"/>
        <v>25000</v>
      </c>
      <c r="S64" s="25">
        <f t="shared" ref="S64:S80" si="21">R64*12</f>
        <v>300000</v>
      </c>
    </row>
    <row r="65" spans="1:20" x14ac:dyDescent="0.25">
      <c r="A65" s="20" t="s">
        <v>113</v>
      </c>
      <c r="B65" s="21" t="s">
        <v>114</v>
      </c>
      <c r="C65" s="22">
        <v>1</v>
      </c>
      <c r="D65" s="22">
        <v>14</v>
      </c>
      <c r="E65" s="23">
        <f>8397*C65</f>
        <v>8397</v>
      </c>
      <c r="F65" s="22"/>
      <c r="G65" s="23">
        <f t="shared" si="18"/>
        <v>8397</v>
      </c>
      <c r="H65" s="23"/>
      <c r="I65" s="23"/>
      <c r="J65" s="23"/>
      <c r="K65" s="23">
        <f t="shared" si="20"/>
        <v>2519.1</v>
      </c>
      <c r="L65" s="41">
        <f>20000-G65-K65</f>
        <v>9083.9</v>
      </c>
      <c r="M65" s="23"/>
      <c r="N65" s="23"/>
      <c r="O65" s="23"/>
      <c r="P65" s="23"/>
      <c r="Q65" s="23"/>
      <c r="R65" s="23">
        <f t="shared" si="19"/>
        <v>20000</v>
      </c>
      <c r="S65" s="25">
        <f t="shared" si="21"/>
        <v>240000</v>
      </c>
    </row>
    <row r="66" spans="1:20" x14ac:dyDescent="0.25">
      <c r="A66" s="20" t="s">
        <v>115</v>
      </c>
      <c r="B66" s="21" t="s">
        <v>116</v>
      </c>
      <c r="C66" s="22">
        <v>0.5</v>
      </c>
      <c r="D66" s="22">
        <v>14</v>
      </c>
      <c r="E66" s="23">
        <f>8397*C66</f>
        <v>4198.5</v>
      </c>
      <c r="F66" s="22"/>
      <c r="G66" s="23">
        <f t="shared" si="18"/>
        <v>4198.5</v>
      </c>
      <c r="H66" s="23"/>
      <c r="I66" s="23"/>
      <c r="J66" s="23"/>
      <c r="K66" s="23">
        <f t="shared" si="20"/>
        <v>1259.55</v>
      </c>
      <c r="L66" s="41">
        <f>20000/2-G66-K66</f>
        <v>4541.95</v>
      </c>
      <c r="M66" s="23"/>
      <c r="N66" s="23"/>
      <c r="O66" s="23"/>
      <c r="P66" s="23"/>
      <c r="Q66" s="23"/>
      <c r="R66" s="23">
        <f t="shared" si="19"/>
        <v>10000</v>
      </c>
      <c r="S66" s="25">
        <f t="shared" si="21"/>
        <v>120000</v>
      </c>
    </row>
    <row r="67" spans="1:20" x14ac:dyDescent="0.25">
      <c r="A67" s="20" t="s">
        <v>117</v>
      </c>
      <c r="B67" s="21" t="s">
        <v>118</v>
      </c>
      <c r="C67" s="22">
        <v>0.25</v>
      </c>
      <c r="D67" s="22">
        <v>14</v>
      </c>
      <c r="E67" s="23">
        <f>8397*C67</f>
        <v>2099.25</v>
      </c>
      <c r="F67" s="22"/>
      <c r="G67" s="23">
        <f t="shared" si="18"/>
        <v>2099.25</v>
      </c>
      <c r="H67" s="23"/>
      <c r="I67" s="23"/>
      <c r="J67" s="23"/>
      <c r="K67" s="23">
        <f t="shared" si="20"/>
        <v>629.77499999999998</v>
      </c>
      <c r="L67" s="41">
        <f>20000*C67-G67-K67</f>
        <v>2270.9749999999999</v>
      </c>
      <c r="M67" s="23"/>
      <c r="N67" s="23"/>
      <c r="O67" s="23"/>
      <c r="P67" s="23"/>
      <c r="Q67" s="23"/>
      <c r="R67" s="23">
        <f t="shared" si="19"/>
        <v>5000</v>
      </c>
      <c r="S67" s="25">
        <f t="shared" si="21"/>
        <v>60000</v>
      </c>
    </row>
    <row r="68" spans="1:20" x14ac:dyDescent="0.25">
      <c r="A68" s="20" t="s">
        <v>119</v>
      </c>
      <c r="B68" s="21" t="s">
        <v>120</v>
      </c>
      <c r="C68" s="22">
        <v>2.5</v>
      </c>
      <c r="D68" s="22">
        <v>13</v>
      </c>
      <c r="E68" s="23">
        <f>7877*C68</f>
        <v>19692.5</v>
      </c>
      <c r="F68" s="22"/>
      <c r="G68" s="23">
        <f t="shared" si="18"/>
        <v>19692.5</v>
      </c>
      <c r="H68" s="23"/>
      <c r="I68" s="23"/>
      <c r="J68" s="23"/>
      <c r="K68" s="23">
        <f t="shared" si="20"/>
        <v>5907.75</v>
      </c>
      <c r="L68" s="41">
        <f t="shared" ref="L68:L73" si="22">20000*C68-G68-K68-N68</f>
        <v>22201.85</v>
      </c>
      <c r="M68" s="23"/>
      <c r="N68" s="23">
        <f>879.16*C68</f>
        <v>2197.9</v>
      </c>
      <c r="O68" s="23"/>
      <c r="P68" s="23"/>
      <c r="Q68" s="23"/>
      <c r="R68" s="23">
        <f t="shared" ref="R68:R73" si="23">G68+K68+L68+N68</f>
        <v>50000</v>
      </c>
      <c r="S68" s="25">
        <f t="shared" si="21"/>
        <v>600000</v>
      </c>
    </row>
    <row r="69" spans="1:20" ht="11.4" customHeight="1" x14ac:dyDescent="0.25">
      <c r="A69" s="20" t="s">
        <v>119</v>
      </c>
      <c r="B69" s="21" t="s">
        <v>121</v>
      </c>
      <c r="C69" s="22">
        <v>0.5</v>
      </c>
      <c r="D69" s="22">
        <v>14</v>
      </c>
      <c r="E69" s="23">
        <f>8397*C69</f>
        <v>4198.5</v>
      </c>
      <c r="F69" s="22"/>
      <c r="G69" s="23">
        <f t="shared" si="18"/>
        <v>4198.5</v>
      </c>
      <c r="H69" s="23"/>
      <c r="I69" s="23"/>
      <c r="J69" s="23"/>
      <c r="K69" s="23">
        <f t="shared" si="20"/>
        <v>1259.55</v>
      </c>
      <c r="L69" s="41">
        <f t="shared" si="22"/>
        <v>4073.35</v>
      </c>
      <c r="M69" s="23"/>
      <c r="N69" s="23">
        <v>468.6</v>
      </c>
      <c r="O69" s="23"/>
      <c r="P69" s="23"/>
      <c r="Q69" s="23"/>
      <c r="R69" s="23">
        <f t="shared" si="23"/>
        <v>10000</v>
      </c>
      <c r="S69" s="25">
        <f t="shared" si="21"/>
        <v>120000</v>
      </c>
    </row>
    <row r="70" spans="1:20" x14ac:dyDescent="0.25">
      <c r="A70" s="20" t="s">
        <v>119</v>
      </c>
      <c r="B70" s="21" t="s">
        <v>122</v>
      </c>
      <c r="C70" s="22">
        <v>0.25</v>
      </c>
      <c r="D70" s="22">
        <v>14</v>
      </c>
      <c r="E70" s="23">
        <f>8397*C70</f>
        <v>2099.25</v>
      </c>
      <c r="F70" s="22"/>
      <c r="G70" s="23">
        <f t="shared" si="18"/>
        <v>2099.25</v>
      </c>
      <c r="H70" s="23"/>
      <c r="I70" s="23"/>
      <c r="J70" s="23"/>
      <c r="K70" s="23">
        <f t="shared" si="20"/>
        <v>629.77499999999998</v>
      </c>
      <c r="L70" s="41">
        <f t="shared" si="22"/>
        <v>2036.675</v>
      </c>
      <c r="M70" s="23"/>
      <c r="N70" s="23">
        <v>234.3</v>
      </c>
      <c r="O70" s="23"/>
      <c r="P70" s="23"/>
      <c r="Q70" s="23"/>
      <c r="R70" s="23">
        <f t="shared" si="23"/>
        <v>5000</v>
      </c>
      <c r="S70" s="25">
        <f t="shared" si="21"/>
        <v>60000</v>
      </c>
    </row>
    <row r="71" spans="1:20" x14ac:dyDescent="0.25">
      <c r="A71" s="20" t="s">
        <v>119</v>
      </c>
      <c r="B71" s="21" t="s">
        <v>123</v>
      </c>
      <c r="C71" s="22">
        <v>0.5</v>
      </c>
      <c r="D71" s="22">
        <v>14</v>
      </c>
      <c r="E71" s="23">
        <f>8397*C71</f>
        <v>4198.5</v>
      </c>
      <c r="F71" s="22"/>
      <c r="G71" s="23">
        <f t="shared" si="18"/>
        <v>4198.5</v>
      </c>
      <c r="H71" s="23"/>
      <c r="I71" s="23"/>
      <c r="J71" s="23"/>
      <c r="K71" s="23">
        <f t="shared" si="20"/>
        <v>1259.55</v>
      </c>
      <c r="L71" s="41">
        <f t="shared" si="22"/>
        <v>4307.6499999999996</v>
      </c>
      <c r="M71" s="23"/>
      <c r="N71" s="23">
        <v>234.3</v>
      </c>
      <c r="O71" s="23"/>
      <c r="P71" s="23"/>
      <c r="Q71" s="23"/>
      <c r="R71" s="23">
        <f t="shared" si="23"/>
        <v>10000</v>
      </c>
      <c r="S71" s="25">
        <f t="shared" si="21"/>
        <v>120000</v>
      </c>
    </row>
    <row r="72" spans="1:20" x14ac:dyDescent="0.25">
      <c r="A72" s="20" t="s">
        <v>119</v>
      </c>
      <c r="B72" s="21" t="s">
        <v>124</v>
      </c>
      <c r="C72" s="22">
        <v>1</v>
      </c>
      <c r="D72" s="22">
        <v>14</v>
      </c>
      <c r="E72" s="23">
        <f>8397*C72</f>
        <v>8397</v>
      </c>
      <c r="F72" s="22"/>
      <c r="G72" s="23">
        <f t="shared" si="18"/>
        <v>8397</v>
      </c>
      <c r="H72" s="23"/>
      <c r="I72" s="23"/>
      <c r="J72" s="23"/>
      <c r="K72" s="23">
        <f t="shared" si="20"/>
        <v>2519.1</v>
      </c>
      <c r="L72" s="41">
        <f t="shared" si="22"/>
        <v>8146.7</v>
      </c>
      <c r="M72" s="23"/>
      <c r="N72" s="23">
        <v>937.2</v>
      </c>
      <c r="O72" s="23"/>
      <c r="P72" s="23"/>
      <c r="Q72" s="23"/>
      <c r="R72" s="23">
        <f t="shared" si="23"/>
        <v>20000</v>
      </c>
      <c r="S72" s="25">
        <f t="shared" si="21"/>
        <v>240000</v>
      </c>
    </row>
    <row r="73" spans="1:20" x14ac:dyDescent="0.25">
      <c r="A73" s="20" t="s">
        <v>119</v>
      </c>
      <c r="B73" s="21" t="s">
        <v>125</v>
      </c>
      <c r="C73" s="22">
        <v>0.5</v>
      </c>
      <c r="D73" s="22">
        <v>13</v>
      </c>
      <c r="E73" s="23">
        <f>7877*C73</f>
        <v>3938.5</v>
      </c>
      <c r="F73" s="22"/>
      <c r="G73" s="23">
        <f t="shared" si="18"/>
        <v>3938.5</v>
      </c>
      <c r="H73" s="23"/>
      <c r="I73" s="23"/>
      <c r="J73" s="23"/>
      <c r="K73" s="23">
        <f t="shared" si="20"/>
        <v>1181.55</v>
      </c>
      <c r="L73" s="41">
        <f t="shared" si="22"/>
        <v>4440.37</v>
      </c>
      <c r="M73" s="23"/>
      <c r="N73" s="23">
        <f>879.16*C73</f>
        <v>439.58</v>
      </c>
      <c r="O73" s="23"/>
      <c r="P73" s="23"/>
      <c r="Q73" s="23"/>
      <c r="R73" s="23">
        <f t="shared" si="23"/>
        <v>10000</v>
      </c>
      <c r="S73" s="25">
        <f t="shared" si="21"/>
        <v>120000</v>
      </c>
    </row>
    <row r="74" spans="1:20" s="13" customFormat="1" x14ac:dyDescent="0.25">
      <c r="A74" s="20" t="s">
        <v>119</v>
      </c>
      <c r="B74" s="21" t="s">
        <v>126</v>
      </c>
      <c r="C74" s="22">
        <v>0.25</v>
      </c>
      <c r="D74" s="22">
        <v>14</v>
      </c>
      <c r="E74" s="23">
        <f>8397*C74</f>
        <v>2099.25</v>
      </c>
      <c r="F74" s="22"/>
      <c r="G74" s="23">
        <f>E74+F74</f>
        <v>2099.25</v>
      </c>
      <c r="H74" s="23"/>
      <c r="I74" s="23"/>
      <c r="J74" s="23"/>
      <c r="K74" s="23">
        <f t="shared" si="20"/>
        <v>629.77499999999998</v>
      </c>
      <c r="L74" s="23">
        <f>20000*C74-G74-K74</f>
        <v>2270.9749999999999</v>
      </c>
      <c r="M74" s="23"/>
      <c r="N74" s="23">
        <v>234.3</v>
      </c>
      <c r="O74" s="23"/>
      <c r="P74" s="23"/>
      <c r="Q74" s="23"/>
      <c r="R74" s="23">
        <f>G74+K74+L74</f>
        <v>5000</v>
      </c>
      <c r="S74" s="25">
        <f t="shared" si="21"/>
        <v>60000</v>
      </c>
      <c r="T74" s="52"/>
    </row>
    <row r="75" spans="1:20" x14ac:dyDescent="0.25">
      <c r="A75" s="20" t="s">
        <v>127</v>
      </c>
      <c r="B75" s="21" t="s">
        <v>128</v>
      </c>
      <c r="C75" s="22">
        <v>1</v>
      </c>
      <c r="D75" s="22">
        <v>9</v>
      </c>
      <c r="E75" s="23">
        <f>6003*C75</f>
        <v>6003</v>
      </c>
      <c r="F75" s="22">
        <f>E75*0.1</f>
        <v>600.30000000000007</v>
      </c>
      <c r="G75" s="23">
        <f t="shared" si="18"/>
        <v>6603.3</v>
      </c>
      <c r="H75" s="23"/>
      <c r="I75" s="23"/>
      <c r="J75" s="23"/>
      <c r="K75" s="23">
        <f t="shared" si="20"/>
        <v>1980.99</v>
      </c>
      <c r="L75" s="41">
        <v>5596.39</v>
      </c>
      <c r="M75" s="23"/>
      <c r="N75" s="23"/>
      <c r="O75" s="23"/>
      <c r="P75" s="23"/>
      <c r="Q75" s="23"/>
      <c r="R75" s="23">
        <f t="shared" si="19"/>
        <v>14180.68</v>
      </c>
      <c r="S75" s="25">
        <f t="shared" si="21"/>
        <v>170168.16</v>
      </c>
    </row>
    <row r="76" spans="1:20" x14ac:dyDescent="0.25">
      <c r="A76" s="20" t="s">
        <v>129</v>
      </c>
      <c r="B76" s="21" t="s">
        <v>130</v>
      </c>
      <c r="C76" s="22">
        <v>10</v>
      </c>
      <c r="D76" s="22">
        <v>9</v>
      </c>
      <c r="E76" s="23">
        <f>6003*C76</f>
        <v>60030</v>
      </c>
      <c r="F76" s="22"/>
      <c r="G76" s="23">
        <f t="shared" si="18"/>
        <v>60030</v>
      </c>
      <c r="H76" s="23"/>
      <c r="I76" s="23">
        <f t="shared" ref="I76:I78" si="24">G76*0.1</f>
        <v>6003</v>
      </c>
      <c r="J76" s="23"/>
      <c r="K76" s="23">
        <f t="shared" si="20"/>
        <v>18009</v>
      </c>
      <c r="L76" s="41">
        <f>13500*C76-G76-I76-K76-N76</f>
        <v>44258.6</v>
      </c>
      <c r="M76" s="23"/>
      <c r="N76" s="23">
        <f>669.94*C76</f>
        <v>6699.4000000000005</v>
      </c>
      <c r="O76" s="23"/>
      <c r="P76" s="23"/>
      <c r="Q76" s="23"/>
      <c r="R76" s="23">
        <f>G76+I76+K76+L76+N76</f>
        <v>135000</v>
      </c>
      <c r="S76" s="25">
        <f t="shared" si="21"/>
        <v>1620000</v>
      </c>
    </row>
    <row r="77" spans="1:20" x14ac:dyDescent="0.25">
      <c r="A77" s="20" t="s">
        <v>131</v>
      </c>
      <c r="B77" s="21" t="s">
        <v>132</v>
      </c>
      <c r="C77" s="22">
        <v>1</v>
      </c>
      <c r="D77" s="22">
        <v>6</v>
      </c>
      <c r="E77" s="23">
        <f>5032*C77</f>
        <v>5032</v>
      </c>
      <c r="F77" s="22"/>
      <c r="G77" s="23">
        <f t="shared" si="18"/>
        <v>5032</v>
      </c>
      <c r="H77" s="23"/>
      <c r="I77" s="23">
        <f t="shared" si="24"/>
        <v>503.20000000000005</v>
      </c>
      <c r="J77" s="23"/>
      <c r="K77" s="23">
        <f t="shared" si="20"/>
        <v>1509.6</v>
      </c>
      <c r="L77" s="41">
        <f t="shared" ref="L77" si="25">13500-G77-I77-K77</f>
        <v>6455.2000000000007</v>
      </c>
      <c r="M77" s="23"/>
      <c r="N77" s="23"/>
      <c r="O77" s="23"/>
      <c r="P77" s="23"/>
      <c r="Q77" s="23"/>
      <c r="R77" s="23">
        <f t="shared" ref="R77" si="26">G77+I77+K77+L77</f>
        <v>13500</v>
      </c>
      <c r="S77" s="25">
        <f t="shared" si="21"/>
        <v>162000</v>
      </c>
    </row>
    <row r="78" spans="1:20" x14ac:dyDescent="0.25">
      <c r="A78" s="20" t="s">
        <v>133</v>
      </c>
      <c r="B78" s="21" t="s">
        <v>134</v>
      </c>
      <c r="C78" s="22">
        <v>6</v>
      </c>
      <c r="D78" s="22">
        <v>4</v>
      </c>
      <c r="E78" s="23">
        <f>4407*C78</f>
        <v>26442</v>
      </c>
      <c r="F78" s="22"/>
      <c r="G78" s="23">
        <f t="shared" si="18"/>
        <v>26442</v>
      </c>
      <c r="H78" s="23"/>
      <c r="I78" s="23">
        <f t="shared" si="24"/>
        <v>2644.2000000000003</v>
      </c>
      <c r="J78" s="23"/>
      <c r="K78" s="23"/>
      <c r="L78" s="23"/>
      <c r="M78" s="23"/>
      <c r="N78" s="23">
        <f>475.33*C78</f>
        <v>2851.98</v>
      </c>
      <c r="O78" s="23"/>
      <c r="P78" s="23">
        <f>8647*C78-G78</f>
        <v>25440</v>
      </c>
      <c r="Q78" s="23"/>
      <c r="R78" s="23">
        <f>E78+I78+P78+N78</f>
        <v>57378.18</v>
      </c>
      <c r="S78" s="25">
        <f t="shared" si="21"/>
        <v>688538.16</v>
      </c>
    </row>
    <row r="79" spans="1:20" x14ac:dyDescent="0.25">
      <c r="A79" s="20" t="s">
        <v>135</v>
      </c>
      <c r="B79" s="21" t="s">
        <v>136</v>
      </c>
      <c r="C79" s="22">
        <v>1</v>
      </c>
      <c r="D79" s="22">
        <v>3</v>
      </c>
      <c r="E79" s="23">
        <f>4095*C79</f>
        <v>4095</v>
      </c>
      <c r="F79" s="22"/>
      <c r="G79" s="23">
        <f t="shared" si="18"/>
        <v>4095</v>
      </c>
      <c r="H79" s="23"/>
      <c r="I79" s="23"/>
      <c r="J79" s="23"/>
      <c r="K79" s="23"/>
      <c r="L79" s="23"/>
      <c r="M79" s="23"/>
      <c r="N79" s="23"/>
      <c r="O79" s="23"/>
      <c r="P79" s="23">
        <f>8647-G79</f>
        <v>4552</v>
      </c>
      <c r="Q79" s="23"/>
      <c r="R79" s="23">
        <f>G79+P79</f>
        <v>8647</v>
      </c>
      <c r="S79" s="25">
        <f t="shared" si="21"/>
        <v>103764</v>
      </c>
      <c r="T79" s="53"/>
    </row>
    <row r="80" spans="1:20" x14ac:dyDescent="0.25">
      <c r="A80" s="20" t="s">
        <v>137</v>
      </c>
      <c r="B80" s="21" t="s">
        <v>138</v>
      </c>
      <c r="C80" s="22">
        <v>1</v>
      </c>
      <c r="D80" s="22">
        <v>4</v>
      </c>
      <c r="E80" s="23">
        <f>4407*C80</f>
        <v>4407</v>
      </c>
      <c r="F80" s="22"/>
      <c r="G80" s="23">
        <f t="shared" si="18"/>
        <v>4407</v>
      </c>
      <c r="H80" s="23"/>
      <c r="I80" s="23"/>
      <c r="J80" s="23"/>
      <c r="K80" s="23"/>
      <c r="L80" s="23"/>
      <c r="M80" s="23"/>
      <c r="N80" s="23"/>
      <c r="O80" s="23"/>
      <c r="P80" s="23">
        <f>8647-G80</f>
        <v>4240</v>
      </c>
      <c r="Q80" s="23"/>
      <c r="R80" s="23">
        <f>G80+P80</f>
        <v>8647</v>
      </c>
      <c r="S80" s="25">
        <f t="shared" si="21"/>
        <v>103764</v>
      </c>
      <c r="T80" s="53"/>
    </row>
    <row r="81" spans="1:20" s="27" customFormat="1" ht="24.6" customHeight="1" thickBot="1" x14ac:dyDescent="0.3">
      <c r="A81" s="64"/>
      <c r="B81" s="47" t="s">
        <v>59</v>
      </c>
      <c r="C81" s="34">
        <f>SUM(C63:C80)</f>
        <v>29.5</v>
      </c>
      <c r="D81" s="34"/>
      <c r="E81" s="35">
        <f>SUM(E63:E80)</f>
        <v>181358.25</v>
      </c>
      <c r="F81" s="34">
        <f>SUM(F63:F80)</f>
        <v>2309.3000000000002</v>
      </c>
      <c r="G81" s="35">
        <f>SUM(G63:G80)</f>
        <v>183667.55</v>
      </c>
      <c r="H81" s="35"/>
      <c r="I81" s="35">
        <f>SUM(I63:I80)</f>
        <v>9150.4</v>
      </c>
      <c r="J81" s="35"/>
      <c r="K81" s="35">
        <f>SUM(K63:K80)</f>
        <v>44617.064999999995</v>
      </c>
      <c r="L81" s="35">
        <f>SUM(L63:L80)</f>
        <v>141622.58499999999</v>
      </c>
      <c r="M81" s="35"/>
      <c r="N81" s="35">
        <f>SUM(N68:N80)</f>
        <v>14297.560000000001</v>
      </c>
      <c r="O81" s="35"/>
      <c r="P81" s="35">
        <f>SUM(P63:P80)</f>
        <v>34232</v>
      </c>
      <c r="Q81" s="35"/>
      <c r="R81" s="35">
        <f>SUM(R63:R80)</f>
        <v>427352.86</v>
      </c>
      <c r="S81" s="36">
        <f>SUM(S63:S80)</f>
        <v>5128234.32</v>
      </c>
      <c r="T81" s="54"/>
    </row>
    <row r="82" spans="1:20" s="13" customFormat="1" ht="20.399999999999999" customHeight="1" x14ac:dyDescent="0.2">
      <c r="A82" s="18"/>
      <c r="B82" s="55" t="s">
        <v>139</v>
      </c>
      <c r="C82" s="85"/>
      <c r="D82" s="85"/>
      <c r="E82" s="94"/>
      <c r="F82" s="85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110"/>
      <c r="T82" s="52"/>
    </row>
    <row r="83" spans="1:20" s="13" customFormat="1" x14ac:dyDescent="0.25">
      <c r="A83" s="20" t="s">
        <v>140</v>
      </c>
      <c r="B83" s="21" t="s">
        <v>100</v>
      </c>
      <c r="C83" s="22">
        <v>1</v>
      </c>
      <c r="D83" s="22">
        <v>12</v>
      </c>
      <c r="E83" s="23">
        <f>7356*C83</f>
        <v>7356</v>
      </c>
      <c r="F83" s="22">
        <f>E83*0.25</f>
        <v>1839</v>
      </c>
      <c r="G83" s="23">
        <f t="shared" ref="G83:G110" si="27">E83+F83</f>
        <v>9195</v>
      </c>
      <c r="H83" s="23"/>
      <c r="I83" s="23"/>
      <c r="J83" s="23"/>
      <c r="K83" s="23">
        <f>G83*0.3</f>
        <v>2758.5</v>
      </c>
      <c r="L83" s="23">
        <f t="shared" ref="L83" si="28">20000-G83-K83</f>
        <v>8046.5</v>
      </c>
      <c r="M83" s="23"/>
      <c r="N83" s="23"/>
      <c r="O83" s="23"/>
      <c r="P83" s="23"/>
      <c r="Q83" s="23"/>
      <c r="R83" s="23">
        <f t="shared" ref="R83:R85" si="29">G83+K83+L83</f>
        <v>20000</v>
      </c>
      <c r="S83" s="25">
        <f>R83*12</f>
        <v>240000</v>
      </c>
      <c r="T83" s="52"/>
    </row>
    <row r="84" spans="1:20" s="13" customFormat="1" x14ac:dyDescent="0.25">
      <c r="A84" s="20" t="s">
        <v>141</v>
      </c>
      <c r="B84" s="21" t="s">
        <v>142</v>
      </c>
      <c r="C84" s="22">
        <v>1.5</v>
      </c>
      <c r="D84" s="22">
        <v>14</v>
      </c>
      <c r="E84" s="23">
        <f>8397*C84</f>
        <v>12595.5</v>
      </c>
      <c r="F84" s="22"/>
      <c r="G84" s="23">
        <f t="shared" si="27"/>
        <v>12595.5</v>
      </c>
      <c r="H84" s="23"/>
      <c r="I84" s="23"/>
      <c r="J84" s="23"/>
      <c r="K84" s="23">
        <f t="shared" ref="K84:K108" si="30">G84*0.3</f>
        <v>3778.6499999999996</v>
      </c>
      <c r="L84" s="23">
        <f>30000-G84-K84</f>
        <v>13625.85</v>
      </c>
      <c r="M84" s="23"/>
      <c r="N84" s="23"/>
      <c r="O84" s="23"/>
      <c r="P84" s="23"/>
      <c r="Q84" s="23"/>
      <c r="R84" s="23">
        <f t="shared" si="29"/>
        <v>30000</v>
      </c>
      <c r="S84" s="25">
        <f t="shared" ref="S84:S110" si="31">R84*12</f>
        <v>360000</v>
      </c>
      <c r="T84" s="52"/>
    </row>
    <row r="85" spans="1:20" s="13" customFormat="1" x14ac:dyDescent="0.25">
      <c r="A85" s="20" t="s">
        <v>143</v>
      </c>
      <c r="B85" s="21" t="s">
        <v>144</v>
      </c>
      <c r="C85" s="22">
        <v>1</v>
      </c>
      <c r="D85" s="22">
        <v>12</v>
      </c>
      <c r="E85" s="23">
        <f>7356*C85</f>
        <v>7356</v>
      </c>
      <c r="F85" s="23">
        <f>E85*0.15</f>
        <v>1103.3999999999999</v>
      </c>
      <c r="G85" s="23">
        <f t="shared" si="27"/>
        <v>8459.4</v>
      </c>
      <c r="H85" s="23"/>
      <c r="I85" s="23"/>
      <c r="J85" s="23"/>
      <c r="K85" s="23">
        <f t="shared" si="30"/>
        <v>2537.8199999999997</v>
      </c>
      <c r="L85" s="23">
        <f t="shared" ref="L85" si="32">20000-G85-K85</f>
        <v>9002.7800000000007</v>
      </c>
      <c r="M85" s="23"/>
      <c r="N85" s="23"/>
      <c r="O85" s="23"/>
      <c r="P85" s="23"/>
      <c r="Q85" s="23"/>
      <c r="R85" s="23">
        <f t="shared" si="29"/>
        <v>20000</v>
      </c>
      <c r="S85" s="25">
        <f t="shared" si="31"/>
        <v>240000</v>
      </c>
      <c r="T85" s="52"/>
    </row>
    <row r="86" spans="1:20" s="13" customFormat="1" x14ac:dyDescent="0.25">
      <c r="A86" s="20" t="s">
        <v>145</v>
      </c>
      <c r="B86" s="21" t="s">
        <v>146</v>
      </c>
      <c r="C86" s="22">
        <v>1</v>
      </c>
      <c r="D86" s="22">
        <v>11</v>
      </c>
      <c r="E86" s="23">
        <f>6836*C86</f>
        <v>6836</v>
      </c>
      <c r="F86" s="22"/>
      <c r="G86" s="23">
        <f t="shared" si="27"/>
        <v>6836</v>
      </c>
      <c r="H86" s="23"/>
      <c r="I86" s="23"/>
      <c r="J86" s="23"/>
      <c r="K86" s="23">
        <f t="shared" si="30"/>
        <v>2050.7999999999997</v>
      </c>
      <c r="L86" s="23">
        <f>20000-G86-K86</f>
        <v>11113.2</v>
      </c>
      <c r="M86" s="23"/>
      <c r="N86" s="23"/>
      <c r="O86" s="23"/>
      <c r="P86" s="23"/>
      <c r="Q86" s="23"/>
      <c r="R86" s="23">
        <f>G86+K86+L86</f>
        <v>20000</v>
      </c>
      <c r="S86" s="25">
        <f t="shared" si="31"/>
        <v>240000</v>
      </c>
      <c r="T86" s="52"/>
    </row>
    <row r="87" spans="1:20" s="13" customFormat="1" x14ac:dyDescent="0.25">
      <c r="A87" s="20" t="s">
        <v>147</v>
      </c>
      <c r="B87" s="21" t="s">
        <v>148</v>
      </c>
      <c r="C87" s="22">
        <v>1.5</v>
      </c>
      <c r="D87" s="22">
        <v>11</v>
      </c>
      <c r="E87" s="23">
        <f>6836*C87</f>
        <v>10254</v>
      </c>
      <c r="F87" s="22"/>
      <c r="G87" s="23">
        <f t="shared" si="27"/>
        <v>10254</v>
      </c>
      <c r="H87" s="23"/>
      <c r="I87" s="23"/>
      <c r="J87" s="23"/>
      <c r="K87" s="23">
        <f t="shared" si="30"/>
        <v>3076.2</v>
      </c>
      <c r="L87" s="23">
        <f>20000*C87-G87-K87</f>
        <v>16669.8</v>
      </c>
      <c r="M87" s="23"/>
      <c r="N87" s="23"/>
      <c r="O87" s="23"/>
      <c r="P87" s="23"/>
      <c r="Q87" s="23"/>
      <c r="R87" s="23">
        <f t="shared" ref="R87:R102" si="33">G87+K87+L87</f>
        <v>30000</v>
      </c>
      <c r="S87" s="25">
        <f t="shared" si="31"/>
        <v>360000</v>
      </c>
      <c r="T87" s="52"/>
    </row>
    <row r="88" spans="1:20" s="13" customFormat="1" x14ac:dyDescent="0.25">
      <c r="A88" s="20" t="s">
        <v>149</v>
      </c>
      <c r="B88" s="21" t="s">
        <v>150</v>
      </c>
      <c r="C88" s="22">
        <v>0.5</v>
      </c>
      <c r="D88" s="22">
        <v>14</v>
      </c>
      <c r="E88" s="23">
        <f>8397*C88</f>
        <v>4198.5</v>
      </c>
      <c r="F88" s="22"/>
      <c r="G88" s="23">
        <f t="shared" si="27"/>
        <v>4198.5</v>
      </c>
      <c r="H88" s="23"/>
      <c r="I88" s="23"/>
      <c r="J88" s="23"/>
      <c r="K88" s="23">
        <f t="shared" si="30"/>
        <v>1259.55</v>
      </c>
      <c r="L88" s="23">
        <f>20000*C88-G88-K88</f>
        <v>4541.95</v>
      </c>
      <c r="M88" s="23"/>
      <c r="N88" s="23"/>
      <c r="O88" s="23"/>
      <c r="P88" s="23"/>
      <c r="Q88" s="23"/>
      <c r="R88" s="23">
        <f t="shared" si="33"/>
        <v>10000</v>
      </c>
      <c r="S88" s="25">
        <f t="shared" si="31"/>
        <v>120000</v>
      </c>
      <c r="T88" s="52"/>
    </row>
    <row r="89" spans="1:20" s="13" customFormat="1" x14ac:dyDescent="0.25">
      <c r="A89" s="20" t="s">
        <v>151</v>
      </c>
      <c r="B89" s="21" t="s">
        <v>104</v>
      </c>
      <c r="C89" s="22">
        <v>0.5</v>
      </c>
      <c r="D89" s="22">
        <v>11</v>
      </c>
      <c r="E89" s="23">
        <f>6836*C89</f>
        <v>3418</v>
      </c>
      <c r="F89" s="23">
        <f>E89*0.15</f>
        <v>512.69999999999993</v>
      </c>
      <c r="G89" s="23">
        <f t="shared" si="27"/>
        <v>3930.7</v>
      </c>
      <c r="H89" s="23"/>
      <c r="I89" s="23"/>
      <c r="J89" s="23"/>
      <c r="K89" s="23">
        <f t="shared" si="30"/>
        <v>1179.2099999999998</v>
      </c>
      <c r="L89" s="23">
        <f>20000/2-G89-K89</f>
        <v>4890.09</v>
      </c>
      <c r="M89" s="23"/>
      <c r="N89" s="23"/>
      <c r="O89" s="23"/>
      <c r="P89" s="23"/>
      <c r="Q89" s="23"/>
      <c r="R89" s="23">
        <f t="shared" si="33"/>
        <v>10000</v>
      </c>
      <c r="S89" s="25">
        <f t="shared" si="31"/>
        <v>120000</v>
      </c>
      <c r="T89" s="52"/>
    </row>
    <row r="90" spans="1:20" s="13" customFormat="1" x14ac:dyDescent="0.25">
      <c r="A90" s="20" t="s">
        <v>152</v>
      </c>
      <c r="B90" s="21" t="s">
        <v>153</v>
      </c>
      <c r="C90" s="22">
        <v>2</v>
      </c>
      <c r="D90" s="22">
        <v>14</v>
      </c>
      <c r="E90" s="23">
        <f>8397*C90</f>
        <v>16794</v>
      </c>
      <c r="F90" s="23">
        <f>E90*0.15</f>
        <v>2519.1</v>
      </c>
      <c r="G90" s="23">
        <f t="shared" si="27"/>
        <v>19313.099999999999</v>
      </c>
      <c r="H90" s="23"/>
      <c r="I90" s="23"/>
      <c r="J90" s="23"/>
      <c r="K90" s="23">
        <f t="shared" si="30"/>
        <v>5793.9299999999994</v>
      </c>
      <c r="L90" s="23">
        <f>20000*C90-G90-K90</f>
        <v>14892.970000000001</v>
      </c>
      <c r="M90" s="23"/>
      <c r="N90" s="23"/>
      <c r="O90" s="23"/>
      <c r="P90" s="23"/>
      <c r="Q90" s="23"/>
      <c r="R90" s="23">
        <f t="shared" si="33"/>
        <v>40000</v>
      </c>
      <c r="S90" s="25">
        <f t="shared" si="31"/>
        <v>480000</v>
      </c>
      <c r="T90" s="52"/>
    </row>
    <row r="91" spans="1:20" s="13" customFormat="1" x14ac:dyDescent="0.25">
      <c r="A91" s="20" t="s">
        <v>154</v>
      </c>
      <c r="B91" s="21" t="s">
        <v>155</v>
      </c>
      <c r="C91" s="22">
        <v>0.75</v>
      </c>
      <c r="D91" s="22">
        <v>13</v>
      </c>
      <c r="E91" s="23">
        <f>7877*C91</f>
        <v>5907.75</v>
      </c>
      <c r="F91" s="22"/>
      <c r="G91" s="23">
        <f t="shared" si="27"/>
        <v>5907.75</v>
      </c>
      <c r="H91" s="23"/>
      <c r="I91" s="23"/>
      <c r="J91" s="23"/>
      <c r="K91" s="23">
        <f t="shared" si="30"/>
        <v>1772.325</v>
      </c>
      <c r="L91" s="23">
        <f>20000*C91-G91-K91</f>
        <v>7319.9250000000002</v>
      </c>
      <c r="M91" s="23"/>
      <c r="N91" s="23"/>
      <c r="O91" s="23"/>
      <c r="P91" s="23"/>
      <c r="Q91" s="23"/>
      <c r="R91" s="23">
        <f t="shared" si="33"/>
        <v>15000</v>
      </c>
      <c r="S91" s="25">
        <f t="shared" si="31"/>
        <v>180000</v>
      </c>
      <c r="T91" s="52"/>
    </row>
    <row r="92" spans="1:20" s="14" customFormat="1" x14ac:dyDescent="0.25">
      <c r="A92" s="137" t="s">
        <v>156</v>
      </c>
      <c r="B92" s="21" t="s">
        <v>339</v>
      </c>
      <c r="C92" s="22">
        <v>0.5</v>
      </c>
      <c r="D92" s="22">
        <v>11</v>
      </c>
      <c r="E92" s="23">
        <f>6836*C92</f>
        <v>3418</v>
      </c>
      <c r="F92" s="23"/>
      <c r="G92" s="23">
        <f t="shared" si="27"/>
        <v>3418</v>
      </c>
      <c r="H92" s="23"/>
      <c r="I92" s="23"/>
      <c r="J92" s="23"/>
      <c r="K92" s="23">
        <f t="shared" si="30"/>
        <v>1025.3999999999999</v>
      </c>
      <c r="L92" s="23">
        <f>20000*C92-G92-K92</f>
        <v>5556.6</v>
      </c>
      <c r="M92" s="23"/>
      <c r="N92" s="23"/>
      <c r="O92" s="23"/>
      <c r="P92" s="23"/>
      <c r="Q92" s="23"/>
      <c r="R92" s="23">
        <f>G92+K92+L92</f>
        <v>10000</v>
      </c>
      <c r="S92" s="25">
        <f t="shared" si="31"/>
        <v>120000</v>
      </c>
      <c r="T92" s="138"/>
    </row>
    <row r="93" spans="1:20" s="13" customFormat="1" x14ac:dyDescent="0.25">
      <c r="A93" s="20" t="s">
        <v>119</v>
      </c>
      <c r="B93" s="21" t="s">
        <v>158</v>
      </c>
      <c r="C93" s="22">
        <v>0.25</v>
      </c>
      <c r="D93" s="22">
        <v>14</v>
      </c>
      <c r="E93" s="23">
        <f>8397*C93</f>
        <v>2099.25</v>
      </c>
      <c r="F93" s="22"/>
      <c r="G93" s="23">
        <f>E93+F93</f>
        <v>2099.25</v>
      </c>
      <c r="H93" s="23"/>
      <c r="I93" s="23"/>
      <c r="J93" s="23"/>
      <c r="K93" s="23">
        <f t="shared" si="30"/>
        <v>629.77499999999998</v>
      </c>
      <c r="L93" s="23">
        <f>20000*C93-G93-K93</f>
        <v>2270.9749999999999</v>
      </c>
      <c r="M93" s="23"/>
      <c r="N93" s="23"/>
      <c r="O93" s="23"/>
      <c r="P93" s="23"/>
      <c r="Q93" s="23"/>
      <c r="R93" s="23">
        <f>G93+K93+L93</f>
        <v>5000</v>
      </c>
      <c r="S93" s="25">
        <f t="shared" si="31"/>
        <v>60000</v>
      </c>
      <c r="T93" s="52"/>
    </row>
    <row r="94" spans="1:20" s="13" customFormat="1" x14ac:dyDescent="0.25">
      <c r="A94" s="20" t="s">
        <v>159</v>
      </c>
      <c r="B94" s="21" t="s">
        <v>160</v>
      </c>
      <c r="C94" s="22">
        <v>0.5</v>
      </c>
      <c r="D94" s="22">
        <v>14</v>
      </c>
      <c r="E94" s="23">
        <f>8397*C94</f>
        <v>4198.5</v>
      </c>
      <c r="F94" s="22"/>
      <c r="G94" s="23">
        <f t="shared" si="27"/>
        <v>4198.5</v>
      </c>
      <c r="H94" s="23"/>
      <c r="I94" s="23"/>
      <c r="J94" s="23"/>
      <c r="K94" s="23">
        <f t="shared" si="30"/>
        <v>1259.55</v>
      </c>
      <c r="L94" s="23">
        <f>20000/2-G94-K94</f>
        <v>4541.95</v>
      </c>
      <c r="M94" s="23"/>
      <c r="N94" s="23"/>
      <c r="O94" s="23"/>
      <c r="P94" s="23"/>
      <c r="Q94" s="23"/>
      <c r="R94" s="23">
        <f t="shared" si="33"/>
        <v>10000</v>
      </c>
      <c r="S94" s="25">
        <f t="shared" si="31"/>
        <v>120000</v>
      </c>
      <c r="T94" s="52"/>
    </row>
    <row r="95" spans="1:20" s="140" customFormat="1" x14ac:dyDescent="0.25">
      <c r="A95" s="137" t="s">
        <v>161</v>
      </c>
      <c r="B95" s="21" t="s">
        <v>162</v>
      </c>
      <c r="C95" s="22">
        <v>0.5</v>
      </c>
      <c r="D95" s="22">
        <v>11</v>
      </c>
      <c r="E95" s="23">
        <f>6836*C95</f>
        <v>3418</v>
      </c>
      <c r="F95" s="22"/>
      <c r="G95" s="23">
        <f t="shared" si="27"/>
        <v>3418</v>
      </c>
      <c r="H95" s="23"/>
      <c r="I95" s="23"/>
      <c r="J95" s="23"/>
      <c r="K95" s="23">
        <f t="shared" si="30"/>
        <v>1025.3999999999999</v>
      </c>
      <c r="L95" s="23">
        <f>20000/2-G95-K95</f>
        <v>5556.6</v>
      </c>
      <c r="M95" s="23"/>
      <c r="N95" s="23"/>
      <c r="O95" s="23"/>
      <c r="P95" s="23"/>
      <c r="Q95" s="23"/>
      <c r="R95" s="23">
        <f t="shared" si="33"/>
        <v>10000</v>
      </c>
      <c r="S95" s="25">
        <f t="shared" si="31"/>
        <v>120000</v>
      </c>
      <c r="T95" s="139"/>
    </row>
    <row r="96" spans="1:20" s="56" customFormat="1" x14ac:dyDescent="0.25">
      <c r="A96" s="20" t="s">
        <v>163</v>
      </c>
      <c r="B96" s="21" t="s">
        <v>164</v>
      </c>
      <c r="C96" s="22">
        <v>0.5</v>
      </c>
      <c r="D96" s="22">
        <v>14</v>
      </c>
      <c r="E96" s="23">
        <f>8397*C96</f>
        <v>4198.5</v>
      </c>
      <c r="F96" s="22"/>
      <c r="G96" s="23">
        <f t="shared" si="27"/>
        <v>4198.5</v>
      </c>
      <c r="H96" s="23"/>
      <c r="I96" s="23"/>
      <c r="J96" s="23"/>
      <c r="K96" s="23">
        <f t="shared" si="30"/>
        <v>1259.55</v>
      </c>
      <c r="L96" s="23">
        <f>20000/2-G96-K96</f>
        <v>4541.95</v>
      </c>
      <c r="M96" s="23"/>
      <c r="N96" s="23"/>
      <c r="O96" s="23"/>
      <c r="P96" s="23"/>
      <c r="Q96" s="23"/>
      <c r="R96" s="23">
        <f t="shared" si="33"/>
        <v>10000</v>
      </c>
      <c r="S96" s="25">
        <f t="shared" si="31"/>
        <v>120000</v>
      </c>
    </row>
    <row r="97" spans="1:20" s="56" customFormat="1" x14ac:dyDescent="0.25">
      <c r="A97" s="20" t="s">
        <v>163</v>
      </c>
      <c r="B97" s="21" t="s">
        <v>332</v>
      </c>
      <c r="C97" s="22">
        <v>0.5</v>
      </c>
      <c r="D97" s="22">
        <v>14</v>
      </c>
      <c r="E97" s="23">
        <f>8397*C97</f>
        <v>4198.5</v>
      </c>
      <c r="F97" s="22"/>
      <c r="G97" s="23">
        <f t="shared" si="27"/>
        <v>4198.5</v>
      </c>
      <c r="H97" s="23"/>
      <c r="I97" s="23"/>
      <c r="J97" s="23"/>
      <c r="K97" s="23">
        <f t="shared" si="30"/>
        <v>1259.55</v>
      </c>
      <c r="L97" s="23">
        <f>20000/2-G97-K97</f>
        <v>4541.95</v>
      </c>
      <c r="M97" s="23"/>
      <c r="N97" s="23"/>
      <c r="O97" s="23"/>
      <c r="P97" s="23"/>
      <c r="Q97" s="23"/>
      <c r="R97" s="23">
        <f t="shared" si="33"/>
        <v>10000</v>
      </c>
      <c r="S97" s="25">
        <f t="shared" si="31"/>
        <v>120000</v>
      </c>
    </row>
    <row r="98" spans="1:20" s="13" customFormat="1" x14ac:dyDescent="0.25">
      <c r="A98" s="20" t="s">
        <v>165</v>
      </c>
      <c r="B98" s="21" t="s">
        <v>166</v>
      </c>
      <c r="C98" s="22">
        <v>1</v>
      </c>
      <c r="D98" s="22">
        <v>14</v>
      </c>
      <c r="E98" s="23">
        <f>8397*C98</f>
        <v>8397</v>
      </c>
      <c r="F98" s="22"/>
      <c r="G98" s="23">
        <f t="shared" si="27"/>
        <v>8397</v>
      </c>
      <c r="H98" s="23"/>
      <c r="I98" s="23"/>
      <c r="J98" s="23"/>
      <c r="K98" s="23">
        <f t="shared" si="30"/>
        <v>2519.1</v>
      </c>
      <c r="L98" s="23">
        <f t="shared" ref="L98" si="34">20000-G98-K98</f>
        <v>9083.9</v>
      </c>
      <c r="M98" s="23"/>
      <c r="N98" s="23"/>
      <c r="O98" s="23"/>
      <c r="P98" s="23"/>
      <c r="Q98" s="23"/>
      <c r="R98" s="23">
        <f t="shared" si="33"/>
        <v>20000</v>
      </c>
      <c r="S98" s="25">
        <f t="shared" si="31"/>
        <v>240000</v>
      </c>
      <c r="T98" s="52"/>
    </row>
    <row r="99" spans="1:20" x14ac:dyDescent="0.25">
      <c r="A99" s="20" t="s">
        <v>167</v>
      </c>
      <c r="B99" s="21" t="s">
        <v>112</v>
      </c>
      <c r="C99" s="22">
        <v>0.5</v>
      </c>
      <c r="D99" s="22">
        <v>10</v>
      </c>
      <c r="E99" s="23">
        <f>6315*C99</f>
        <v>3157.5</v>
      </c>
      <c r="F99" s="22"/>
      <c r="G99" s="23">
        <f t="shared" si="27"/>
        <v>3157.5</v>
      </c>
      <c r="H99" s="23"/>
      <c r="I99" s="23"/>
      <c r="J99" s="23"/>
      <c r="K99" s="23">
        <f t="shared" si="30"/>
        <v>947.25</v>
      </c>
      <c r="L99" s="23">
        <f>20000/2-G99-K99</f>
        <v>5895.25</v>
      </c>
      <c r="M99" s="23"/>
      <c r="N99" s="23"/>
      <c r="O99" s="23"/>
      <c r="P99" s="23"/>
      <c r="Q99" s="23"/>
      <c r="R99" s="23">
        <f t="shared" si="33"/>
        <v>10000</v>
      </c>
      <c r="S99" s="25">
        <f t="shared" si="31"/>
        <v>120000</v>
      </c>
      <c r="T99" s="53"/>
    </row>
    <row r="100" spans="1:20" s="13" customFormat="1" x14ac:dyDescent="0.25">
      <c r="A100" s="20" t="s">
        <v>168</v>
      </c>
      <c r="B100" s="21" t="s">
        <v>169</v>
      </c>
      <c r="C100" s="22">
        <v>1.5</v>
      </c>
      <c r="D100" s="22">
        <v>14</v>
      </c>
      <c r="E100" s="23">
        <f>8397*C100</f>
        <v>12595.5</v>
      </c>
      <c r="F100" s="22"/>
      <c r="G100" s="23">
        <f t="shared" si="27"/>
        <v>12595.5</v>
      </c>
      <c r="H100" s="23"/>
      <c r="I100" s="23"/>
      <c r="J100" s="23"/>
      <c r="K100" s="23">
        <f t="shared" si="30"/>
        <v>3778.6499999999996</v>
      </c>
      <c r="L100" s="23">
        <f>20000*C100-G100-K100</f>
        <v>13625.85</v>
      </c>
      <c r="M100" s="23"/>
      <c r="N100" s="23"/>
      <c r="O100" s="23"/>
      <c r="P100" s="23"/>
      <c r="Q100" s="23"/>
      <c r="R100" s="23">
        <f t="shared" si="33"/>
        <v>30000</v>
      </c>
      <c r="S100" s="25">
        <f t="shared" si="31"/>
        <v>360000</v>
      </c>
      <c r="T100" s="52"/>
    </row>
    <row r="101" spans="1:20" x14ac:dyDescent="0.25">
      <c r="A101" s="20" t="s">
        <v>170</v>
      </c>
      <c r="B101" s="21" t="s">
        <v>171</v>
      </c>
      <c r="C101" s="22">
        <v>0.5</v>
      </c>
      <c r="D101" s="22">
        <v>13</v>
      </c>
      <c r="E101" s="23">
        <f>7877*C101</f>
        <v>3938.5</v>
      </c>
      <c r="F101" s="22"/>
      <c r="G101" s="23">
        <f t="shared" si="27"/>
        <v>3938.5</v>
      </c>
      <c r="H101" s="23"/>
      <c r="I101" s="23"/>
      <c r="J101" s="23"/>
      <c r="K101" s="23">
        <f t="shared" si="30"/>
        <v>1181.55</v>
      </c>
      <c r="L101" s="23">
        <f>20000/2-G101-K101</f>
        <v>4879.95</v>
      </c>
      <c r="M101" s="23"/>
      <c r="N101" s="23"/>
      <c r="O101" s="23"/>
      <c r="P101" s="23"/>
      <c r="Q101" s="23"/>
      <c r="R101" s="23">
        <f t="shared" si="33"/>
        <v>10000</v>
      </c>
      <c r="S101" s="25">
        <f t="shared" si="31"/>
        <v>120000</v>
      </c>
      <c r="T101" s="53"/>
    </row>
    <row r="102" spans="1:20" s="14" customFormat="1" x14ac:dyDescent="0.25">
      <c r="A102" s="137" t="s">
        <v>172</v>
      </c>
      <c r="B102" s="21" t="s">
        <v>173</v>
      </c>
      <c r="C102" s="22">
        <v>0.25</v>
      </c>
      <c r="D102" s="22">
        <v>14</v>
      </c>
      <c r="E102" s="23">
        <f>8397*C102</f>
        <v>2099.25</v>
      </c>
      <c r="F102" s="22"/>
      <c r="G102" s="23">
        <f t="shared" si="27"/>
        <v>2099.25</v>
      </c>
      <c r="H102" s="23"/>
      <c r="I102" s="23"/>
      <c r="J102" s="23"/>
      <c r="K102" s="23">
        <f t="shared" si="30"/>
        <v>629.77499999999998</v>
      </c>
      <c r="L102" s="23">
        <f>20000/4-G102-K102</f>
        <v>2270.9749999999999</v>
      </c>
      <c r="M102" s="23"/>
      <c r="N102" s="23"/>
      <c r="O102" s="23"/>
      <c r="P102" s="23"/>
      <c r="Q102" s="23"/>
      <c r="R102" s="23">
        <f t="shared" si="33"/>
        <v>5000</v>
      </c>
      <c r="S102" s="25">
        <f t="shared" si="31"/>
        <v>60000</v>
      </c>
      <c r="T102" s="138"/>
    </row>
    <row r="103" spans="1:20" x14ac:dyDescent="0.25">
      <c r="A103" s="20" t="s">
        <v>174</v>
      </c>
      <c r="B103" s="21" t="s">
        <v>128</v>
      </c>
      <c r="C103" s="22">
        <v>0.5</v>
      </c>
      <c r="D103" s="22">
        <v>9</v>
      </c>
      <c r="E103" s="23">
        <f>6003*C103</f>
        <v>3001.5</v>
      </c>
      <c r="F103" s="22"/>
      <c r="G103" s="23">
        <f t="shared" si="27"/>
        <v>3001.5</v>
      </c>
      <c r="H103" s="23"/>
      <c r="I103" s="23"/>
      <c r="J103" s="23"/>
      <c r="K103" s="23">
        <f t="shared" si="30"/>
        <v>900.44999999999993</v>
      </c>
      <c r="L103" s="23">
        <f>13500*C103-G103-K103</f>
        <v>2848.05</v>
      </c>
      <c r="M103" s="23"/>
      <c r="N103" s="23"/>
      <c r="O103" s="23"/>
      <c r="P103" s="23"/>
      <c r="Q103" s="23"/>
      <c r="R103" s="23">
        <f>G103+K103+L103</f>
        <v>6750</v>
      </c>
      <c r="S103" s="25">
        <f t="shared" si="31"/>
        <v>81000</v>
      </c>
      <c r="T103" s="53"/>
    </row>
    <row r="104" spans="1:20" x14ac:dyDescent="0.25">
      <c r="A104" s="20" t="s">
        <v>175</v>
      </c>
      <c r="B104" s="21" t="s">
        <v>176</v>
      </c>
      <c r="C104" s="22">
        <v>1</v>
      </c>
      <c r="D104" s="22">
        <v>9</v>
      </c>
      <c r="E104" s="23">
        <f>6003*C104</f>
        <v>6003</v>
      </c>
      <c r="F104" s="22">
        <f>E104*0.15</f>
        <v>900.44999999999993</v>
      </c>
      <c r="G104" s="23">
        <f t="shared" si="27"/>
        <v>6903.45</v>
      </c>
      <c r="H104" s="23"/>
      <c r="I104" s="23"/>
      <c r="J104" s="23"/>
      <c r="K104" s="23">
        <f t="shared" si="30"/>
        <v>2071.0349999999999</v>
      </c>
      <c r="L104" s="23">
        <f>13500-G104-K104</f>
        <v>4525.5150000000003</v>
      </c>
      <c r="M104" s="23"/>
      <c r="N104" s="23"/>
      <c r="O104" s="23"/>
      <c r="P104" s="23"/>
      <c r="Q104" s="23"/>
      <c r="R104" s="23">
        <f>G104+K104+L104</f>
        <v>13500</v>
      </c>
      <c r="S104" s="25">
        <f t="shared" si="31"/>
        <v>162000</v>
      </c>
      <c r="T104" s="53"/>
    </row>
    <row r="105" spans="1:20" x14ac:dyDescent="0.25">
      <c r="A105" s="20" t="s">
        <v>177</v>
      </c>
      <c r="B105" s="21" t="s">
        <v>178</v>
      </c>
      <c r="C105" s="22">
        <v>1.5</v>
      </c>
      <c r="D105" s="22">
        <v>7</v>
      </c>
      <c r="E105" s="23">
        <f>5344*C105</f>
        <v>8016</v>
      </c>
      <c r="F105" s="22"/>
      <c r="G105" s="23">
        <f t="shared" si="27"/>
        <v>8016</v>
      </c>
      <c r="H105" s="23"/>
      <c r="I105" s="23">
        <f>G105*0.1</f>
        <v>801.6</v>
      </c>
      <c r="J105" s="23"/>
      <c r="K105" s="23">
        <f t="shared" si="30"/>
        <v>2404.7999999999997</v>
      </c>
      <c r="L105" s="23">
        <f>13500*1.5-G105-I105-K105</f>
        <v>9027.6</v>
      </c>
      <c r="M105" s="23"/>
      <c r="N105" s="23"/>
      <c r="O105" s="23"/>
      <c r="P105" s="23"/>
      <c r="Q105" s="23"/>
      <c r="R105" s="23">
        <f>G105+I105+K105+L105</f>
        <v>20250</v>
      </c>
      <c r="S105" s="25">
        <f t="shared" si="31"/>
        <v>243000</v>
      </c>
      <c r="T105" s="53"/>
    </row>
    <row r="106" spans="1:20" x14ac:dyDescent="0.25">
      <c r="A106" s="20" t="s">
        <v>179</v>
      </c>
      <c r="B106" s="21" t="s">
        <v>91</v>
      </c>
      <c r="C106" s="22">
        <v>5</v>
      </c>
      <c r="D106" s="22">
        <v>9</v>
      </c>
      <c r="E106" s="23">
        <f>6003*C106</f>
        <v>30015</v>
      </c>
      <c r="F106" s="22"/>
      <c r="G106" s="23">
        <f t="shared" si="27"/>
        <v>30015</v>
      </c>
      <c r="H106" s="23"/>
      <c r="I106" s="23"/>
      <c r="J106" s="23"/>
      <c r="K106" s="23">
        <f t="shared" si="30"/>
        <v>9004.5</v>
      </c>
      <c r="L106" s="23">
        <f>13500*C106-G106-K106</f>
        <v>28480.5</v>
      </c>
      <c r="M106" s="23"/>
      <c r="N106" s="23"/>
      <c r="O106" s="23"/>
      <c r="P106" s="23"/>
      <c r="Q106" s="23"/>
      <c r="R106" s="23">
        <f t="shared" ref="R106" si="35">G106+K106+L106</f>
        <v>67500</v>
      </c>
      <c r="S106" s="25">
        <f t="shared" si="31"/>
        <v>810000</v>
      </c>
      <c r="T106" s="53"/>
    </row>
    <row r="107" spans="1:20" x14ac:dyDescent="0.25">
      <c r="A107" s="20" t="s">
        <v>181</v>
      </c>
      <c r="B107" s="21" t="s">
        <v>180</v>
      </c>
      <c r="C107" s="22">
        <v>2</v>
      </c>
      <c r="D107" s="22">
        <v>9</v>
      </c>
      <c r="E107" s="23">
        <f>6003*C107</f>
        <v>12006</v>
      </c>
      <c r="F107" s="22"/>
      <c r="G107" s="23">
        <f t="shared" si="27"/>
        <v>12006</v>
      </c>
      <c r="H107" s="23"/>
      <c r="I107" s="23">
        <f>G107*0.1</f>
        <v>1200.6000000000001</v>
      </c>
      <c r="J107" s="23"/>
      <c r="K107" s="23">
        <f t="shared" si="30"/>
        <v>3601.7999999999997</v>
      </c>
      <c r="L107" s="23">
        <f>13500-G107-K107-I107</f>
        <v>-3308.3999999999996</v>
      </c>
      <c r="M107" s="23"/>
      <c r="N107" s="23"/>
      <c r="O107" s="23"/>
      <c r="P107" s="23"/>
      <c r="Q107" s="23"/>
      <c r="R107" s="23">
        <f>G107+K107+L107+I107</f>
        <v>13500</v>
      </c>
      <c r="S107" s="25">
        <f t="shared" si="31"/>
        <v>162000</v>
      </c>
      <c r="T107" s="53"/>
    </row>
    <row r="108" spans="1:20" x14ac:dyDescent="0.25">
      <c r="A108" s="20" t="s">
        <v>183</v>
      </c>
      <c r="B108" s="21" t="s">
        <v>182</v>
      </c>
      <c r="C108" s="22">
        <v>2</v>
      </c>
      <c r="D108" s="22">
        <v>9</v>
      </c>
      <c r="E108" s="23">
        <f>6003*C108</f>
        <v>12006</v>
      </c>
      <c r="F108" s="22">
        <f>E108*0.15</f>
        <v>1800.8999999999999</v>
      </c>
      <c r="G108" s="23">
        <f t="shared" si="27"/>
        <v>13806.9</v>
      </c>
      <c r="H108" s="23"/>
      <c r="I108" s="23"/>
      <c r="J108" s="23"/>
      <c r="K108" s="23">
        <f t="shared" si="30"/>
        <v>4142.07</v>
      </c>
      <c r="L108" s="23">
        <f>13500*C108-G108-K108</f>
        <v>9051.0300000000007</v>
      </c>
      <c r="M108" s="23"/>
      <c r="N108" s="23"/>
      <c r="O108" s="23"/>
      <c r="P108" s="23"/>
      <c r="Q108" s="23"/>
      <c r="R108" s="23">
        <f t="shared" ref="R108" si="36">G108+K108+L108</f>
        <v>27000</v>
      </c>
      <c r="S108" s="25">
        <f t="shared" si="31"/>
        <v>324000</v>
      </c>
      <c r="T108" s="53"/>
    </row>
    <row r="109" spans="1:20" s="38" customFormat="1" x14ac:dyDescent="0.25">
      <c r="A109" s="20" t="s">
        <v>185</v>
      </c>
      <c r="B109" s="21" t="s">
        <v>184</v>
      </c>
      <c r="C109" s="22">
        <v>0.5</v>
      </c>
      <c r="D109" s="22">
        <v>4</v>
      </c>
      <c r="E109" s="23">
        <f>4407*C109</f>
        <v>2203.5</v>
      </c>
      <c r="F109" s="22"/>
      <c r="G109" s="23">
        <f>E109+F109</f>
        <v>2203.5</v>
      </c>
      <c r="H109" s="23"/>
      <c r="I109" s="23"/>
      <c r="J109" s="23"/>
      <c r="K109" s="23"/>
      <c r="L109" s="23"/>
      <c r="M109" s="23"/>
      <c r="N109" s="23"/>
      <c r="O109" s="23"/>
      <c r="P109" s="23">
        <f>8647/2-G109</f>
        <v>2120</v>
      </c>
      <c r="Q109" s="23"/>
      <c r="R109" s="23">
        <f>G109+I109+P109</f>
        <v>4323.5</v>
      </c>
      <c r="S109" s="25">
        <f t="shared" si="31"/>
        <v>51882</v>
      </c>
      <c r="T109" s="46"/>
    </row>
    <row r="110" spans="1:20" x14ac:dyDescent="0.25">
      <c r="A110" s="20" t="s">
        <v>188</v>
      </c>
      <c r="B110" s="21" t="s">
        <v>134</v>
      </c>
      <c r="C110" s="22">
        <v>5</v>
      </c>
      <c r="D110" s="22">
        <v>3</v>
      </c>
      <c r="E110" s="23">
        <f>4095*C110</f>
        <v>20475</v>
      </c>
      <c r="F110" s="22"/>
      <c r="G110" s="23">
        <f t="shared" si="27"/>
        <v>20475</v>
      </c>
      <c r="H110" s="23"/>
      <c r="I110" s="23">
        <f>G110*0.1</f>
        <v>2047.5</v>
      </c>
      <c r="J110" s="23"/>
      <c r="K110" s="23"/>
      <c r="L110" s="23"/>
      <c r="M110" s="23"/>
      <c r="N110" s="23"/>
      <c r="O110" s="23"/>
      <c r="P110" s="23">
        <f>8647*C110-G110</f>
        <v>22760</v>
      </c>
      <c r="Q110" s="23"/>
      <c r="R110" s="23">
        <f>G110+I110+P110</f>
        <v>45282.5</v>
      </c>
      <c r="S110" s="25">
        <f t="shared" si="31"/>
        <v>543390</v>
      </c>
      <c r="T110" s="53"/>
    </row>
    <row r="111" spans="1:20" s="27" customFormat="1" ht="23.4" customHeight="1" thickBot="1" x14ac:dyDescent="0.3">
      <c r="A111" s="112"/>
      <c r="B111" s="113" t="s">
        <v>59</v>
      </c>
      <c r="C111" s="114">
        <f>SUM(C83:C110)</f>
        <v>33.75</v>
      </c>
      <c r="D111" s="114"/>
      <c r="E111" s="115">
        <f>SUM(E83:E110)</f>
        <v>220160.25</v>
      </c>
      <c r="F111" s="115">
        <f>SUM(F83:F110)</f>
        <v>8675.5499999999993</v>
      </c>
      <c r="G111" s="115">
        <f>SUM(G83:G110)</f>
        <v>228835.80000000002</v>
      </c>
      <c r="H111" s="115"/>
      <c r="I111" s="115">
        <f>SUM(I83:I110)</f>
        <v>4049.7000000000003</v>
      </c>
      <c r="J111" s="115"/>
      <c r="K111" s="115">
        <f>SUM(K83:K110)</f>
        <v>61847.19000000001</v>
      </c>
      <c r="L111" s="115">
        <f>SUM(L83:L110)</f>
        <v>203493.31000000003</v>
      </c>
      <c r="M111" s="115"/>
      <c r="N111" s="115"/>
      <c r="O111" s="115"/>
      <c r="P111" s="115">
        <f>SUM(P109:P110)</f>
        <v>24880</v>
      </c>
      <c r="Q111" s="115"/>
      <c r="R111" s="115">
        <f>SUM(R83:R110)</f>
        <v>523106</v>
      </c>
      <c r="S111" s="116">
        <f>SUM(S83:S110)</f>
        <v>6277272</v>
      </c>
      <c r="T111" s="54"/>
    </row>
    <row r="112" spans="1:20" ht="16.2" customHeight="1" x14ac:dyDescent="0.25">
      <c r="A112" s="15"/>
      <c r="B112" s="86" t="s">
        <v>187</v>
      </c>
      <c r="C112" s="85"/>
      <c r="D112" s="85"/>
      <c r="E112" s="94"/>
      <c r="F112" s="85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110"/>
      <c r="T112" s="53"/>
    </row>
    <row r="113" spans="1:20" x14ac:dyDescent="0.25">
      <c r="A113" s="20" t="s">
        <v>190</v>
      </c>
      <c r="B113" s="21" t="s">
        <v>189</v>
      </c>
      <c r="C113" s="22">
        <v>0.75</v>
      </c>
      <c r="D113" s="22">
        <v>10</v>
      </c>
      <c r="E113" s="23">
        <f>6315*C113</f>
        <v>4736.25</v>
      </c>
      <c r="F113" s="22">
        <f>E113*0.15</f>
        <v>710.4375</v>
      </c>
      <c r="G113" s="23">
        <f t="shared" ref="G113:G117" si="37">E113+F113</f>
        <v>5446.6875</v>
      </c>
      <c r="H113" s="23"/>
      <c r="I113" s="23">
        <f>G113*0.1</f>
        <v>544.66875000000005</v>
      </c>
      <c r="J113" s="23"/>
      <c r="K113" s="23">
        <f>G113*0.3</f>
        <v>1634.0062499999999</v>
      </c>
      <c r="L113" s="23">
        <f>20000*C113-G113-I113-K113</f>
        <v>7374.6374999999989</v>
      </c>
      <c r="M113" s="23"/>
      <c r="N113" s="23"/>
      <c r="O113" s="23"/>
      <c r="P113" s="23"/>
      <c r="Q113" s="23"/>
      <c r="R113" s="23">
        <f>G113+I113+K113+L113</f>
        <v>14999.999999999998</v>
      </c>
      <c r="S113" s="25">
        <f>R113*12</f>
        <v>179999.99999999997</v>
      </c>
      <c r="T113" s="53"/>
    </row>
    <row r="114" spans="1:20" x14ac:dyDescent="0.25">
      <c r="A114" s="20" t="s">
        <v>192</v>
      </c>
      <c r="B114" s="21" t="s">
        <v>191</v>
      </c>
      <c r="C114" s="22">
        <v>1</v>
      </c>
      <c r="D114" s="22">
        <v>9</v>
      </c>
      <c r="E114" s="23">
        <f>6003*C114</f>
        <v>6003</v>
      </c>
      <c r="F114" s="22">
        <f>E114*0.15</f>
        <v>900.44999999999993</v>
      </c>
      <c r="G114" s="23">
        <f t="shared" si="37"/>
        <v>6903.45</v>
      </c>
      <c r="H114" s="23"/>
      <c r="I114" s="23"/>
      <c r="J114" s="23"/>
      <c r="K114" s="23">
        <f t="shared" ref="K114:K115" si="38">G114*0.3</f>
        <v>2071.0349999999999</v>
      </c>
      <c r="L114" s="23">
        <f>20000-G114-K114</f>
        <v>11025.514999999999</v>
      </c>
      <c r="M114" s="23"/>
      <c r="N114" s="23"/>
      <c r="O114" s="23"/>
      <c r="P114" s="23"/>
      <c r="Q114" s="23"/>
      <c r="R114" s="23">
        <f>G114+I114+K114+L114</f>
        <v>20000</v>
      </c>
      <c r="S114" s="25">
        <f t="shared" ref="S114:S116" si="39">R114*12</f>
        <v>240000</v>
      </c>
      <c r="T114" s="53"/>
    </row>
    <row r="115" spans="1:20" x14ac:dyDescent="0.25">
      <c r="A115" s="20" t="s">
        <v>194</v>
      </c>
      <c r="B115" s="21" t="s">
        <v>193</v>
      </c>
      <c r="C115" s="22">
        <v>3</v>
      </c>
      <c r="D115" s="22">
        <v>10</v>
      </c>
      <c r="E115" s="23">
        <f>6315*C115</f>
        <v>18945</v>
      </c>
      <c r="F115" s="22">
        <f>E115*0.15</f>
        <v>2841.75</v>
      </c>
      <c r="G115" s="23">
        <f t="shared" si="37"/>
        <v>21786.75</v>
      </c>
      <c r="H115" s="23"/>
      <c r="I115" s="23">
        <f>G115*0.1</f>
        <v>2178.6750000000002</v>
      </c>
      <c r="J115" s="23"/>
      <c r="K115" s="23">
        <f t="shared" si="38"/>
        <v>6536.0249999999996</v>
      </c>
      <c r="L115" s="23">
        <f>13500*C115-G115-I115-K115</f>
        <v>9998.5500000000011</v>
      </c>
      <c r="M115" s="23"/>
      <c r="N115" s="23"/>
      <c r="O115" s="23"/>
      <c r="P115" s="23"/>
      <c r="Q115" s="23"/>
      <c r="R115" s="23">
        <f>G115+I115+K115+L115</f>
        <v>40500</v>
      </c>
      <c r="S115" s="25">
        <f t="shared" si="39"/>
        <v>486000</v>
      </c>
      <c r="T115" s="53"/>
    </row>
    <row r="116" spans="1:20" s="38" customFormat="1" x14ac:dyDescent="0.25">
      <c r="A116" s="20" t="s">
        <v>197</v>
      </c>
      <c r="B116" s="21" t="s">
        <v>186</v>
      </c>
      <c r="C116" s="22">
        <v>1</v>
      </c>
      <c r="D116" s="22">
        <v>3</v>
      </c>
      <c r="E116" s="23">
        <f>4095*C116</f>
        <v>4095</v>
      </c>
      <c r="F116" s="22">
        <f>E116*0.15</f>
        <v>614.25</v>
      </c>
      <c r="G116" s="23">
        <f t="shared" si="37"/>
        <v>4709.25</v>
      </c>
      <c r="H116" s="23"/>
      <c r="I116" s="23">
        <f>G116*0.1</f>
        <v>470.92500000000001</v>
      </c>
      <c r="J116" s="23"/>
      <c r="K116" s="23" t="s">
        <v>195</v>
      </c>
      <c r="L116" s="23"/>
      <c r="M116" s="23"/>
      <c r="N116" s="23"/>
      <c r="O116" s="23"/>
      <c r="P116" s="23">
        <f>8647*C116-E116</f>
        <v>4552</v>
      </c>
      <c r="Q116" s="23"/>
      <c r="R116" s="23">
        <f>G116+I116+P116</f>
        <v>9732.1749999999993</v>
      </c>
      <c r="S116" s="25">
        <f t="shared" si="39"/>
        <v>116786.09999999999</v>
      </c>
      <c r="T116" s="46"/>
    </row>
    <row r="117" spans="1:20" s="27" customFormat="1" ht="25.2" customHeight="1" x14ac:dyDescent="0.25">
      <c r="A117" s="112"/>
      <c r="B117" s="113" t="s">
        <v>59</v>
      </c>
      <c r="C117" s="114">
        <f>C113+C114+C115+C116</f>
        <v>5.75</v>
      </c>
      <c r="D117" s="114"/>
      <c r="E117" s="115">
        <f>SUM(E113:E116)</f>
        <v>33779.25</v>
      </c>
      <c r="F117" s="114">
        <f>SUM(F113:F116)</f>
        <v>5066.8874999999998</v>
      </c>
      <c r="G117" s="115">
        <f t="shared" si="37"/>
        <v>38846.137499999997</v>
      </c>
      <c r="H117" s="115"/>
      <c r="I117" s="115">
        <f>SUM(I113:I116)</f>
        <v>3194.2687500000002</v>
      </c>
      <c r="J117" s="115"/>
      <c r="K117" s="115">
        <f>SUM(K113:K116)</f>
        <v>10241.06625</v>
      </c>
      <c r="L117" s="115">
        <f>SUM(L113:L116)</f>
        <v>28398.702499999999</v>
      </c>
      <c r="M117" s="115"/>
      <c r="N117" s="115"/>
      <c r="O117" s="115"/>
      <c r="P117" s="115">
        <f>SUM(P113:P116)</f>
        <v>4552</v>
      </c>
      <c r="Q117" s="115"/>
      <c r="R117" s="115">
        <f>SUM(R113:R116)</f>
        <v>85232.175000000003</v>
      </c>
      <c r="S117" s="31">
        <f t="shared" ref="S117" si="40">R117*4</f>
        <v>340928.7</v>
      </c>
      <c r="T117" s="54"/>
    </row>
    <row r="118" spans="1:20" s="27" customFormat="1" ht="21.6" customHeight="1" x14ac:dyDescent="0.25">
      <c r="A118" s="125"/>
      <c r="B118" s="126" t="s">
        <v>326</v>
      </c>
      <c r="C118" s="126"/>
      <c r="D118" s="126"/>
      <c r="E118" s="127"/>
      <c r="F118" s="126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25"/>
      <c r="T118" s="54"/>
    </row>
    <row r="119" spans="1:20" s="27" customFormat="1" ht="15" customHeight="1" x14ac:dyDescent="0.25">
      <c r="A119" s="128" t="s">
        <v>198</v>
      </c>
      <c r="B119" s="129" t="s">
        <v>323</v>
      </c>
      <c r="C119" s="130">
        <v>0.25</v>
      </c>
      <c r="D119" s="130">
        <v>10</v>
      </c>
      <c r="E119" s="131">
        <f>6315*C119</f>
        <v>1578.75</v>
      </c>
      <c r="F119" s="130">
        <f>E119*0.15</f>
        <v>236.8125</v>
      </c>
      <c r="G119" s="131">
        <f>E119+F119</f>
        <v>1815.5625</v>
      </c>
      <c r="H119" s="131"/>
      <c r="I119" s="131">
        <f>G119*0.1</f>
        <v>181.55625000000001</v>
      </c>
      <c r="J119" s="131"/>
      <c r="K119" s="131">
        <f>G119*0.3</f>
        <v>544.66874999999993</v>
      </c>
      <c r="L119" s="131">
        <f>20000*C119-G119-I119-K119</f>
        <v>2458.2125000000001</v>
      </c>
      <c r="M119" s="131"/>
      <c r="N119" s="131"/>
      <c r="O119" s="131"/>
      <c r="P119" s="131"/>
      <c r="Q119" s="131"/>
      <c r="R119" s="131">
        <f>L119+K119+I119+G119</f>
        <v>5000</v>
      </c>
      <c r="S119" s="25">
        <f>R119*12</f>
        <v>60000</v>
      </c>
      <c r="T119" s="54"/>
    </row>
    <row r="120" spans="1:20" s="27" customFormat="1" ht="13.2" customHeight="1" x14ac:dyDescent="0.25">
      <c r="A120" s="128" t="s">
        <v>199</v>
      </c>
      <c r="B120" s="129" t="s">
        <v>324</v>
      </c>
      <c r="C120" s="130">
        <v>0.25</v>
      </c>
      <c r="D120" s="130">
        <v>10</v>
      </c>
      <c r="E120" s="131">
        <f>6315*C120</f>
        <v>1578.75</v>
      </c>
      <c r="F120" s="130">
        <f>E120*0.15</f>
        <v>236.8125</v>
      </c>
      <c r="G120" s="131">
        <f>E120+F120</f>
        <v>1815.5625</v>
      </c>
      <c r="H120" s="131"/>
      <c r="I120" s="131">
        <f>G120*0.1</f>
        <v>181.55625000000001</v>
      </c>
      <c r="J120" s="131"/>
      <c r="K120" s="131">
        <f>G120*0.3</f>
        <v>544.66874999999993</v>
      </c>
      <c r="L120" s="131">
        <f>20000*C120-G120-I120-K120</f>
        <v>2458.2125000000001</v>
      </c>
      <c r="M120" s="131"/>
      <c r="N120" s="131"/>
      <c r="O120" s="131"/>
      <c r="P120" s="131"/>
      <c r="Q120" s="131"/>
      <c r="R120" s="131">
        <f t="shared" ref="R120" si="41">L120+K120+I120+G120</f>
        <v>5000</v>
      </c>
      <c r="S120" s="25">
        <f>R120*12</f>
        <v>60000</v>
      </c>
      <c r="T120" s="54"/>
    </row>
    <row r="121" spans="1:20" s="27" customFormat="1" ht="21.6" customHeight="1" x14ac:dyDescent="0.25">
      <c r="A121" s="128"/>
      <c r="B121" s="132" t="s">
        <v>59</v>
      </c>
      <c r="C121" s="126">
        <v>0.5</v>
      </c>
      <c r="D121" s="126"/>
      <c r="E121" s="127">
        <f>SUM(E119:E120)</f>
        <v>3157.5</v>
      </c>
      <c r="F121" s="126">
        <f>SUM(F119:F120)</f>
        <v>473.625</v>
      </c>
      <c r="G121" s="127">
        <f>SUM(G119:G120)</f>
        <v>3631.125</v>
      </c>
      <c r="H121" s="127"/>
      <c r="I121" s="127">
        <f>SUM(I119:I120)</f>
        <v>363.11250000000001</v>
      </c>
      <c r="J121" s="127"/>
      <c r="K121" s="127">
        <f>SUM(K119:K120)</f>
        <v>1089.3374999999999</v>
      </c>
      <c r="L121" s="127">
        <f>SUM(L119:L120)</f>
        <v>4916.4250000000002</v>
      </c>
      <c r="M121" s="127"/>
      <c r="N121" s="127"/>
      <c r="O121" s="127"/>
      <c r="P121" s="127"/>
      <c r="Q121" s="127"/>
      <c r="R121" s="127">
        <f>SUM(R119:R120)</f>
        <v>10000</v>
      </c>
      <c r="S121" s="127">
        <f>SUM(S119:S120)</f>
        <v>120000</v>
      </c>
      <c r="T121" s="54"/>
    </row>
    <row r="122" spans="1:20" ht="23.4" customHeight="1" x14ac:dyDescent="0.25">
      <c r="A122" s="133"/>
      <c r="B122" s="29" t="s">
        <v>327</v>
      </c>
      <c r="C122" s="29"/>
      <c r="D122" s="29"/>
      <c r="E122" s="30"/>
      <c r="F122" s="29"/>
      <c r="G122" s="23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53"/>
    </row>
    <row r="123" spans="1:20" ht="14.4" customHeight="1" x14ac:dyDescent="0.25">
      <c r="A123" s="20" t="s">
        <v>198</v>
      </c>
      <c r="B123" s="21" t="s">
        <v>110</v>
      </c>
      <c r="C123" s="22">
        <v>0.25</v>
      </c>
      <c r="D123" s="22">
        <v>10</v>
      </c>
      <c r="E123" s="23">
        <f>6315*C123</f>
        <v>1578.75</v>
      </c>
      <c r="F123" s="22">
        <f t="shared" ref="F123:F126" si="42">E123*0.15</f>
        <v>236.8125</v>
      </c>
      <c r="G123" s="23">
        <f t="shared" si="18"/>
        <v>1815.5625</v>
      </c>
      <c r="H123" s="23"/>
      <c r="I123" s="23"/>
      <c r="J123" s="23"/>
      <c r="K123" s="23">
        <f>G123*0.3</f>
        <v>544.66874999999993</v>
      </c>
      <c r="L123" s="23">
        <f>20000*C123-G123-K123</f>
        <v>2639.7687500000002</v>
      </c>
      <c r="M123" s="23"/>
      <c r="N123" s="23"/>
      <c r="O123" s="23"/>
      <c r="P123" s="23"/>
      <c r="Q123" s="23"/>
      <c r="R123" s="23">
        <f t="shared" ref="R123:R124" si="43">G123+K123+L123</f>
        <v>5000</v>
      </c>
      <c r="S123" s="25">
        <f>R123*12</f>
        <v>60000</v>
      </c>
      <c r="T123" s="53"/>
    </row>
    <row r="124" spans="1:20" x14ac:dyDescent="0.25">
      <c r="A124" s="20" t="s">
        <v>199</v>
      </c>
      <c r="B124" s="21" t="s">
        <v>104</v>
      </c>
      <c r="C124" s="22">
        <v>0.25</v>
      </c>
      <c r="D124" s="22">
        <v>10</v>
      </c>
      <c r="E124" s="23">
        <f>6315*C124</f>
        <v>1578.75</v>
      </c>
      <c r="F124" s="22">
        <f t="shared" si="42"/>
        <v>236.8125</v>
      </c>
      <c r="G124" s="23">
        <f t="shared" si="18"/>
        <v>1815.5625</v>
      </c>
      <c r="H124" s="23"/>
      <c r="I124" s="23"/>
      <c r="J124" s="23"/>
      <c r="K124" s="23">
        <f t="shared" ref="K124:K125" si="44">G124*0.3</f>
        <v>544.66874999999993</v>
      </c>
      <c r="L124" s="23">
        <f>20000*C124-G124-K124</f>
        <v>2639.7687500000002</v>
      </c>
      <c r="M124" s="23"/>
      <c r="N124" s="23"/>
      <c r="O124" s="23"/>
      <c r="P124" s="23"/>
      <c r="Q124" s="23"/>
      <c r="R124" s="23">
        <f t="shared" si="43"/>
        <v>5000</v>
      </c>
      <c r="S124" s="25">
        <f t="shared" ref="S124:S126" si="45">R124*12</f>
        <v>60000</v>
      </c>
      <c r="T124" s="53"/>
    </row>
    <row r="125" spans="1:20" x14ac:dyDescent="0.25">
      <c r="A125" s="20" t="s">
        <v>200</v>
      </c>
      <c r="B125" s="21" t="s">
        <v>130</v>
      </c>
      <c r="C125" s="22">
        <v>3.5</v>
      </c>
      <c r="D125" s="22">
        <v>9</v>
      </c>
      <c r="E125" s="23">
        <f>6003*C125</f>
        <v>21010.5</v>
      </c>
      <c r="F125" s="22">
        <f t="shared" si="42"/>
        <v>3151.5749999999998</v>
      </c>
      <c r="G125" s="23">
        <f t="shared" si="18"/>
        <v>24162.075000000001</v>
      </c>
      <c r="H125" s="23"/>
      <c r="I125" s="23">
        <f t="shared" ref="I125:I126" si="46">G125*0.1</f>
        <v>2416.2075</v>
      </c>
      <c r="J125" s="23"/>
      <c r="K125" s="23">
        <f t="shared" si="44"/>
        <v>7248.6225000000004</v>
      </c>
      <c r="L125" s="23">
        <f>13500*C125-G125-K125-I125-N125</f>
        <v>11157.194999999998</v>
      </c>
      <c r="M125" s="23"/>
      <c r="N125" s="23">
        <f>647.4*C125</f>
        <v>2265.9</v>
      </c>
      <c r="O125" s="23"/>
      <c r="P125" s="23"/>
      <c r="Q125" s="23"/>
      <c r="R125" s="23">
        <f>G125+K125+L125+I125+N125</f>
        <v>47250</v>
      </c>
      <c r="S125" s="25">
        <f t="shared" si="45"/>
        <v>567000</v>
      </c>
      <c r="T125" s="53"/>
    </row>
    <row r="126" spans="1:20" s="13" customFormat="1" x14ac:dyDescent="0.2">
      <c r="A126" s="28" t="s">
        <v>202</v>
      </c>
      <c r="B126" s="21" t="s">
        <v>134</v>
      </c>
      <c r="C126" s="22">
        <v>2.5</v>
      </c>
      <c r="D126" s="22">
        <v>4</v>
      </c>
      <c r="E126" s="23">
        <f>4407*C126</f>
        <v>11017.5</v>
      </c>
      <c r="F126" s="22">
        <f t="shared" si="42"/>
        <v>1652.625</v>
      </c>
      <c r="G126" s="23">
        <f t="shared" si="18"/>
        <v>12670.125</v>
      </c>
      <c r="H126" s="23"/>
      <c r="I126" s="23">
        <f t="shared" si="46"/>
        <v>1267.0125</v>
      </c>
      <c r="J126" s="23"/>
      <c r="K126" s="23"/>
      <c r="L126" s="23"/>
      <c r="M126" s="23"/>
      <c r="N126" s="23">
        <f>475.33*C126</f>
        <v>1188.325</v>
      </c>
      <c r="O126" s="23"/>
      <c r="P126" s="23">
        <f>8647*C126-E126</f>
        <v>10600</v>
      </c>
      <c r="Q126" s="23"/>
      <c r="R126" s="23">
        <f>G126+I126+P126+N126</f>
        <v>25725.462500000001</v>
      </c>
      <c r="S126" s="25">
        <f t="shared" si="45"/>
        <v>308705.55000000005</v>
      </c>
      <c r="T126" s="52"/>
    </row>
    <row r="127" spans="1:20" s="27" customFormat="1" ht="21.6" customHeight="1" thickBot="1" x14ac:dyDescent="0.3">
      <c r="A127" s="64"/>
      <c r="B127" s="117" t="s">
        <v>59</v>
      </c>
      <c r="C127" s="34">
        <f>SUM(C123:C126)</f>
        <v>6.5</v>
      </c>
      <c r="D127" s="34"/>
      <c r="E127" s="35">
        <f>SUM(E123:E126)</f>
        <v>35185.5</v>
      </c>
      <c r="F127" s="34">
        <f>SUM(F123:F126)</f>
        <v>5277.8249999999998</v>
      </c>
      <c r="G127" s="35">
        <f>SUM(G123:G126)</f>
        <v>40463.324999999997</v>
      </c>
      <c r="H127" s="35"/>
      <c r="I127" s="35">
        <f>SUM(I123:I126)</f>
        <v>3683.2200000000003</v>
      </c>
      <c r="J127" s="35"/>
      <c r="K127" s="35">
        <f>SUM(K123:K126)</f>
        <v>8337.9600000000009</v>
      </c>
      <c r="L127" s="35">
        <f>SUM(L123:L126)</f>
        <v>16436.732499999998</v>
      </c>
      <c r="M127" s="35"/>
      <c r="N127" s="35">
        <f>SUM(N123:N126)</f>
        <v>3454.2250000000004</v>
      </c>
      <c r="O127" s="35"/>
      <c r="P127" s="35">
        <f>SUM(P123:P126)</f>
        <v>10600</v>
      </c>
      <c r="Q127" s="35"/>
      <c r="R127" s="35">
        <f>SUM(R123:R126)</f>
        <v>82975.462499999994</v>
      </c>
      <c r="S127" s="36">
        <f>SUM(S123:S126)</f>
        <v>995705.55</v>
      </c>
      <c r="T127" s="54"/>
    </row>
    <row r="128" spans="1:20" s="56" customFormat="1" ht="27" customHeight="1" x14ac:dyDescent="0.25">
      <c r="A128" s="15"/>
      <c r="B128" s="86" t="s">
        <v>201</v>
      </c>
      <c r="C128" s="85"/>
      <c r="D128" s="85"/>
      <c r="E128" s="94"/>
      <c r="F128" s="85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110"/>
      <c r="T128" s="58"/>
    </row>
    <row r="129" spans="1:20" s="13" customFormat="1" x14ac:dyDescent="0.25">
      <c r="A129" s="20" t="s">
        <v>203</v>
      </c>
      <c r="B129" s="59" t="s">
        <v>100</v>
      </c>
      <c r="C129" s="22">
        <v>1</v>
      </c>
      <c r="D129" s="22">
        <v>13</v>
      </c>
      <c r="E129" s="23">
        <f>7877*C129</f>
        <v>7877</v>
      </c>
      <c r="F129" s="22">
        <f>E129*0.2</f>
        <v>1575.4</v>
      </c>
      <c r="G129" s="23">
        <f t="shared" ref="G129:G130" si="47">E129+F129</f>
        <v>9452.4</v>
      </c>
      <c r="H129" s="23"/>
      <c r="I129" s="23"/>
      <c r="J129" s="23"/>
      <c r="K129" s="23">
        <f t="shared" ref="K129:K130" si="48">G129*0.3</f>
        <v>2835.72</v>
      </c>
      <c r="L129" s="23">
        <f t="shared" ref="L129" si="49">20000-G129-K129</f>
        <v>7711.880000000001</v>
      </c>
      <c r="M129" s="23"/>
      <c r="N129" s="23"/>
      <c r="O129" s="23"/>
      <c r="P129" s="23"/>
      <c r="Q129" s="23"/>
      <c r="R129" s="23">
        <f>G129+K129+L129+O129</f>
        <v>20000</v>
      </c>
      <c r="S129" s="25">
        <f>R129*12</f>
        <v>240000</v>
      </c>
      <c r="T129" s="52"/>
    </row>
    <row r="130" spans="1:20" s="38" customFormat="1" x14ac:dyDescent="0.25">
      <c r="A130" s="57" t="s">
        <v>205</v>
      </c>
      <c r="B130" s="21" t="s">
        <v>128</v>
      </c>
      <c r="C130" s="22">
        <v>1</v>
      </c>
      <c r="D130" s="22">
        <v>10</v>
      </c>
      <c r="E130" s="23">
        <f>6315*C130</f>
        <v>6315</v>
      </c>
      <c r="F130" s="22">
        <f>E130*0.1</f>
        <v>631.5</v>
      </c>
      <c r="G130" s="23">
        <f t="shared" si="47"/>
        <v>6946.5</v>
      </c>
      <c r="H130" s="23"/>
      <c r="I130" s="23"/>
      <c r="J130" s="23"/>
      <c r="K130" s="23">
        <f t="shared" si="48"/>
        <v>2083.9499999999998</v>
      </c>
      <c r="L130" s="23">
        <f>13500-G130-K130</f>
        <v>4469.55</v>
      </c>
      <c r="M130" s="23"/>
      <c r="N130" s="23"/>
      <c r="O130" s="23"/>
      <c r="P130" s="23"/>
      <c r="Q130" s="23"/>
      <c r="R130" s="23">
        <f>G130+K130+L130</f>
        <v>13500</v>
      </c>
      <c r="S130" s="25">
        <f t="shared" ref="S130:S139" si="50">R130*12</f>
        <v>162000</v>
      </c>
      <c r="T130" s="46"/>
    </row>
    <row r="131" spans="1:20" x14ac:dyDescent="0.25">
      <c r="A131" s="28"/>
      <c r="B131" s="50"/>
      <c r="C131" s="60"/>
      <c r="D131" s="60"/>
      <c r="E131" s="61"/>
      <c r="F131" s="60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25">
        <f t="shared" si="50"/>
        <v>0</v>
      </c>
      <c r="T131" s="53"/>
    </row>
    <row r="132" spans="1:20" ht="21" customHeight="1" x14ac:dyDescent="0.25">
      <c r="A132" s="20"/>
      <c r="B132" s="63" t="s">
        <v>204</v>
      </c>
      <c r="C132" s="29"/>
      <c r="D132" s="29"/>
      <c r="E132" s="30"/>
      <c r="F132" s="29"/>
      <c r="G132" s="23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25">
        <f t="shared" si="50"/>
        <v>0</v>
      </c>
      <c r="T132" s="53"/>
    </row>
    <row r="133" spans="1:20" ht="11.4" customHeight="1" x14ac:dyDescent="0.25">
      <c r="A133" s="20" t="s">
        <v>207</v>
      </c>
      <c r="B133" s="21" t="s">
        <v>206</v>
      </c>
      <c r="C133" s="22">
        <v>4.5</v>
      </c>
      <c r="D133" s="22">
        <v>14</v>
      </c>
      <c r="E133" s="23">
        <f>8397*C133</f>
        <v>37786.5</v>
      </c>
      <c r="F133" s="22"/>
      <c r="G133" s="23">
        <f t="shared" ref="G133:G139" si="51">E133+F133</f>
        <v>37786.5</v>
      </c>
      <c r="H133" s="23"/>
      <c r="I133" s="23"/>
      <c r="J133" s="23"/>
      <c r="K133" s="23">
        <f t="shared" ref="K133" si="52">G133*0.3</f>
        <v>11335.949999999999</v>
      </c>
      <c r="L133" s="23">
        <f>20000*C133-G133-K133</f>
        <v>40877.550000000003</v>
      </c>
      <c r="M133" s="23"/>
      <c r="N133" s="23"/>
      <c r="O133" s="23"/>
      <c r="P133" s="23"/>
      <c r="Q133" s="23"/>
      <c r="R133" s="23">
        <f>G133+K133+L133+O133</f>
        <v>90000</v>
      </c>
      <c r="S133" s="25">
        <f t="shared" si="50"/>
        <v>1080000</v>
      </c>
    </row>
    <row r="134" spans="1:20" x14ac:dyDescent="0.25">
      <c r="A134" s="20" t="s">
        <v>209</v>
      </c>
      <c r="B134" s="21" t="s">
        <v>208</v>
      </c>
      <c r="C134" s="22">
        <v>1</v>
      </c>
      <c r="D134" s="22">
        <v>13</v>
      </c>
      <c r="E134" s="23">
        <f>7877*C134</f>
        <v>7877</v>
      </c>
      <c r="F134" s="22"/>
      <c r="G134" s="23">
        <f t="shared" si="51"/>
        <v>7877</v>
      </c>
      <c r="H134" s="23"/>
      <c r="I134" s="23"/>
      <c r="J134" s="23"/>
      <c r="K134" s="23">
        <f>G134*0.3</f>
        <v>2363.1</v>
      </c>
      <c r="L134" s="23">
        <f>20000-G134-K134</f>
        <v>9759.9</v>
      </c>
      <c r="M134" s="23"/>
      <c r="N134" s="23"/>
      <c r="O134" s="23"/>
      <c r="P134" s="23"/>
      <c r="Q134" s="23"/>
      <c r="R134" s="23">
        <f>G134+K134+L134+O134</f>
        <v>20000</v>
      </c>
      <c r="S134" s="25">
        <f t="shared" si="50"/>
        <v>240000</v>
      </c>
    </row>
    <row r="135" spans="1:20" s="13" customFormat="1" x14ac:dyDescent="0.25">
      <c r="A135" s="20" t="s">
        <v>210</v>
      </c>
      <c r="B135" s="21" t="s">
        <v>112</v>
      </c>
      <c r="C135" s="22">
        <v>1</v>
      </c>
      <c r="D135" s="22">
        <v>12</v>
      </c>
      <c r="E135" s="23">
        <f>7356*C135</f>
        <v>7356</v>
      </c>
      <c r="F135" s="22"/>
      <c r="G135" s="23">
        <f t="shared" si="51"/>
        <v>7356</v>
      </c>
      <c r="H135" s="23"/>
      <c r="I135" s="23"/>
      <c r="J135" s="23"/>
      <c r="K135" s="23">
        <f t="shared" ref="K135:K137" si="53">G135*0.3</f>
        <v>2206.7999999999997</v>
      </c>
      <c r="L135" s="23">
        <f t="shared" ref="L135" si="54">20000-G135-K135</f>
        <v>10437.200000000001</v>
      </c>
      <c r="M135" s="23"/>
      <c r="N135" s="23"/>
      <c r="O135" s="23"/>
      <c r="P135" s="23"/>
      <c r="Q135" s="23"/>
      <c r="R135" s="23">
        <f>G135+K135+L135+O135</f>
        <v>20000</v>
      </c>
      <c r="S135" s="25">
        <f t="shared" si="50"/>
        <v>240000</v>
      </c>
    </row>
    <row r="136" spans="1:20" x14ac:dyDescent="0.25">
      <c r="A136" s="20" t="s">
        <v>213</v>
      </c>
      <c r="B136" s="21" t="s">
        <v>211</v>
      </c>
      <c r="C136" s="22">
        <v>5</v>
      </c>
      <c r="D136" s="22">
        <v>10</v>
      </c>
      <c r="E136" s="23">
        <f>6315*C136</f>
        <v>31575</v>
      </c>
      <c r="F136" s="22"/>
      <c r="G136" s="23">
        <f t="shared" si="51"/>
        <v>31575</v>
      </c>
      <c r="H136" s="23"/>
      <c r="I136" s="23">
        <f>G136*0.1</f>
        <v>3157.5</v>
      </c>
      <c r="J136" s="23"/>
      <c r="K136" s="23">
        <f t="shared" si="53"/>
        <v>9472.5</v>
      </c>
      <c r="L136" s="23">
        <f>13500*C136-G136-I136-K136</f>
        <v>23295</v>
      </c>
      <c r="M136" s="23"/>
      <c r="N136" s="23"/>
      <c r="O136" s="23"/>
      <c r="P136" s="23"/>
      <c r="Q136" s="23"/>
      <c r="R136" s="23">
        <f>G136+I136+K136+L136</f>
        <v>67500</v>
      </c>
      <c r="S136" s="25">
        <f t="shared" si="50"/>
        <v>810000</v>
      </c>
      <c r="T136" s="53"/>
    </row>
    <row r="137" spans="1:20" s="13" customFormat="1" x14ac:dyDescent="0.25">
      <c r="A137" s="20" t="s">
        <v>214</v>
      </c>
      <c r="B137" s="21" t="s">
        <v>91</v>
      </c>
      <c r="C137" s="22">
        <v>1</v>
      </c>
      <c r="D137" s="22">
        <v>10</v>
      </c>
      <c r="E137" s="23">
        <f>6315*C137</f>
        <v>6315</v>
      </c>
      <c r="F137" s="22"/>
      <c r="G137" s="23">
        <f t="shared" si="51"/>
        <v>6315</v>
      </c>
      <c r="H137" s="23"/>
      <c r="I137" s="23"/>
      <c r="J137" s="23"/>
      <c r="K137" s="23">
        <f t="shared" si="53"/>
        <v>1894.5</v>
      </c>
      <c r="L137" s="23">
        <f t="shared" ref="L137:L138" si="55">13500-G137-K137</f>
        <v>5290.5</v>
      </c>
      <c r="M137" s="23"/>
      <c r="N137" s="23"/>
      <c r="O137" s="23"/>
      <c r="P137" s="23"/>
      <c r="Q137" s="23"/>
      <c r="R137" s="23">
        <f t="shared" ref="R137:R138" si="56">G137+K137+L137</f>
        <v>13500</v>
      </c>
      <c r="S137" s="25">
        <f t="shared" si="50"/>
        <v>162000</v>
      </c>
    </row>
    <row r="138" spans="1:20" x14ac:dyDescent="0.25">
      <c r="A138" s="20" t="s">
        <v>216</v>
      </c>
      <c r="B138" s="21" t="s">
        <v>215</v>
      </c>
      <c r="C138" s="22">
        <v>1</v>
      </c>
      <c r="D138" s="22">
        <v>10</v>
      </c>
      <c r="E138" s="23">
        <f>6315*C138</f>
        <v>6315</v>
      </c>
      <c r="F138" s="22"/>
      <c r="G138" s="23">
        <f t="shared" si="51"/>
        <v>6315</v>
      </c>
      <c r="H138" s="23"/>
      <c r="I138" s="23"/>
      <c r="J138" s="23"/>
      <c r="K138" s="23">
        <f>G138*0.3</f>
        <v>1894.5</v>
      </c>
      <c r="L138" s="23">
        <f t="shared" si="55"/>
        <v>5290.5</v>
      </c>
      <c r="M138" s="23"/>
      <c r="N138" s="23"/>
      <c r="O138" s="23"/>
      <c r="P138" s="23"/>
      <c r="Q138" s="23"/>
      <c r="R138" s="23">
        <f t="shared" si="56"/>
        <v>13500</v>
      </c>
      <c r="S138" s="25">
        <f t="shared" si="50"/>
        <v>162000</v>
      </c>
    </row>
    <row r="139" spans="1:20" x14ac:dyDescent="0.25">
      <c r="A139" s="20" t="s">
        <v>218</v>
      </c>
      <c r="B139" s="21" t="s">
        <v>134</v>
      </c>
      <c r="C139" s="22">
        <v>2</v>
      </c>
      <c r="D139" s="22">
        <v>3</v>
      </c>
      <c r="E139" s="23">
        <f>4095*C139</f>
        <v>8190</v>
      </c>
      <c r="F139" s="22"/>
      <c r="G139" s="23">
        <f t="shared" si="51"/>
        <v>8190</v>
      </c>
      <c r="H139" s="23"/>
      <c r="I139" s="23">
        <f>G139*0.1</f>
        <v>819</v>
      </c>
      <c r="J139" s="23"/>
      <c r="K139" s="23"/>
      <c r="L139" s="23"/>
      <c r="M139" s="23"/>
      <c r="N139" s="23"/>
      <c r="O139" s="23"/>
      <c r="P139" s="23">
        <f>8647*C139-G139</f>
        <v>9104</v>
      </c>
      <c r="Q139" s="23"/>
      <c r="R139" s="23">
        <f>SUM(G139:Q139)</f>
        <v>18113</v>
      </c>
      <c r="S139" s="25">
        <f t="shared" si="50"/>
        <v>217356</v>
      </c>
    </row>
    <row r="140" spans="1:20" s="27" customFormat="1" ht="25.8" customHeight="1" thickBot="1" x14ac:dyDescent="0.3">
      <c r="A140" s="64"/>
      <c r="B140" s="47" t="s">
        <v>59</v>
      </c>
      <c r="C140" s="34">
        <f>SUM(C129:C139)</f>
        <v>17.5</v>
      </c>
      <c r="D140" s="34"/>
      <c r="E140" s="35">
        <f>SUM(E129:E139)</f>
        <v>119606.5</v>
      </c>
      <c r="F140" s="34">
        <f>SUM(F129:F139)</f>
        <v>2206.9</v>
      </c>
      <c r="G140" s="35">
        <f>SUM(G129:G139)</f>
        <v>121813.4</v>
      </c>
      <c r="H140" s="35"/>
      <c r="I140" s="35">
        <f>SUM(I129:I139)</f>
        <v>3976.5</v>
      </c>
      <c r="J140" s="35"/>
      <c r="K140" s="35">
        <f>SUM(K129:K139)</f>
        <v>34087.019999999997</v>
      </c>
      <c r="L140" s="35">
        <f>SUM(L129:L139)</f>
        <v>107132.08</v>
      </c>
      <c r="M140" s="35">
        <f>SUM(M139:M139)</f>
        <v>0</v>
      </c>
      <c r="N140" s="35"/>
      <c r="O140" s="35">
        <f>SUM(O134:O139)</f>
        <v>0</v>
      </c>
      <c r="P140" s="35">
        <f>SUM(P139:P139)</f>
        <v>9104</v>
      </c>
      <c r="Q140" s="35"/>
      <c r="R140" s="35">
        <f>SUM(R129:R139)</f>
        <v>276113</v>
      </c>
      <c r="S140" s="36">
        <f>SUM(S129:S139)</f>
        <v>3313356</v>
      </c>
    </row>
    <row r="141" spans="1:20" ht="27.6" customHeight="1" x14ac:dyDescent="0.25">
      <c r="A141" s="15"/>
      <c r="B141" s="55" t="s">
        <v>217</v>
      </c>
      <c r="C141" s="85"/>
      <c r="D141" s="85"/>
      <c r="E141" s="94"/>
      <c r="F141" s="85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110"/>
    </row>
    <row r="142" spans="1:20" x14ac:dyDescent="0.25">
      <c r="A142" s="20" t="s">
        <v>221</v>
      </c>
      <c r="B142" s="21" t="s">
        <v>219</v>
      </c>
      <c r="C142" s="22">
        <v>6.5</v>
      </c>
      <c r="D142" s="22">
        <v>10</v>
      </c>
      <c r="E142" s="23">
        <f>6315*C142</f>
        <v>41047.5</v>
      </c>
      <c r="F142" s="22"/>
      <c r="G142" s="23">
        <f t="shared" ref="G142:G143" si="57">E142+F142</f>
        <v>41047.5</v>
      </c>
      <c r="H142" s="23"/>
      <c r="I142" s="23"/>
      <c r="J142" s="23"/>
      <c r="K142" s="23">
        <f t="shared" ref="K142" si="58">G142*0.3</f>
        <v>12314.25</v>
      </c>
      <c r="L142" s="23">
        <f>13500*C142-G142-K142-N142</f>
        <v>29960.904999999999</v>
      </c>
      <c r="M142" s="23"/>
      <c r="N142" s="23">
        <f>681.13*C142</f>
        <v>4427.3450000000003</v>
      </c>
      <c r="O142" s="23"/>
      <c r="P142" s="23"/>
      <c r="Q142" s="23"/>
      <c r="R142" s="23">
        <f t="shared" ref="R142" si="59">G142+K142+L142+N142</f>
        <v>87750</v>
      </c>
      <c r="S142" s="25">
        <f>R142*12</f>
        <v>1053000</v>
      </c>
    </row>
    <row r="143" spans="1:20" x14ac:dyDescent="0.25">
      <c r="A143" s="20" t="s">
        <v>223</v>
      </c>
      <c r="B143" s="21" t="s">
        <v>78</v>
      </c>
      <c r="C143" s="22">
        <v>5</v>
      </c>
      <c r="D143" s="22">
        <v>4</v>
      </c>
      <c r="E143" s="23">
        <f>4407*C143</f>
        <v>22035</v>
      </c>
      <c r="F143" s="22"/>
      <c r="G143" s="23">
        <f t="shared" si="57"/>
        <v>22035</v>
      </c>
      <c r="H143" s="23"/>
      <c r="I143" s="23"/>
      <c r="J143" s="23"/>
      <c r="K143" s="23"/>
      <c r="L143" s="23"/>
      <c r="M143" s="23"/>
      <c r="N143" s="23">
        <f>475.33*C143</f>
        <v>2376.65</v>
      </c>
      <c r="O143" s="23"/>
      <c r="P143" s="23">
        <f>8647*C143-G143</f>
        <v>21200</v>
      </c>
      <c r="Q143" s="23"/>
      <c r="R143" s="23">
        <f>E143+P143+N143</f>
        <v>45611.65</v>
      </c>
      <c r="S143" s="25">
        <f>R143*12</f>
        <v>547339.80000000005</v>
      </c>
    </row>
    <row r="144" spans="1:20" s="27" customFormat="1" ht="22.2" customHeight="1" thickBot="1" x14ac:dyDescent="0.3">
      <c r="A144" s="64"/>
      <c r="B144" s="47" t="s">
        <v>59</v>
      </c>
      <c r="C144" s="34">
        <f>SUM(C142:C143)</f>
        <v>11.5</v>
      </c>
      <c r="D144" s="34"/>
      <c r="E144" s="35">
        <f>SUM(E142:E143)</f>
        <v>63082.5</v>
      </c>
      <c r="F144" s="34"/>
      <c r="G144" s="35">
        <f>SUM(G142:G143)</f>
        <v>63082.5</v>
      </c>
      <c r="H144" s="35"/>
      <c r="I144" s="35"/>
      <c r="J144" s="35"/>
      <c r="K144" s="35">
        <f>SUM(K142:K143)</f>
        <v>12314.25</v>
      </c>
      <c r="L144" s="35">
        <f>SUM(L142:L143)</f>
        <v>29960.904999999999</v>
      </c>
      <c r="M144" s="35"/>
      <c r="N144" s="35">
        <f>SUM(N142:N143)</f>
        <v>6803.9950000000008</v>
      </c>
      <c r="O144" s="35"/>
      <c r="P144" s="35">
        <f>SUM(P142:P143)</f>
        <v>21200</v>
      </c>
      <c r="Q144" s="35"/>
      <c r="R144" s="35">
        <f>SUM(R142:R143)</f>
        <v>133361.65</v>
      </c>
      <c r="S144" s="36">
        <f>SUM(S142:S143)</f>
        <v>1600339.8</v>
      </c>
    </row>
    <row r="145" spans="1:20" ht="29.4" customHeight="1" x14ac:dyDescent="0.25">
      <c r="A145" s="15"/>
      <c r="B145" s="55" t="s">
        <v>222</v>
      </c>
      <c r="C145" s="85"/>
      <c r="D145" s="85"/>
      <c r="E145" s="94"/>
      <c r="F145" s="85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110"/>
    </row>
    <row r="146" spans="1:20" x14ac:dyDescent="0.25">
      <c r="A146" s="20" t="s">
        <v>224</v>
      </c>
      <c r="B146" s="21" t="s">
        <v>206</v>
      </c>
      <c r="C146" s="22">
        <v>1</v>
      </c>
      <c r="D146" s="22">
        <v>12</v>
      </c>
      <c r="E146" s="23">
        <f>7356*C146</f>
        <v>7356</v>
      </c>
      <c r="F146" s="22">
        <f>E146*0.1</f>
        <v>735.6</v>
      </c>
      <c r="G146" s="23">
        <f t="shared" ref="G146:G151" si="60">E146+F146</f>
        <v>8091.6</v>
      </c>
      <c r="H146" s="23"/>
      <c r="I146" s="23"/>
      <c r="J146" s="23"/>
      <c r="K146" s="23">
        <f>G146*0.3</f>
        <v>2427.48</v>
      </c>
      <c r="L146" s="23">
        <f>20000*C146-G146-K146</f>
        <v>9480.92</v>
      </c>
      <c r="M146" s="23"/>
      <c r="N146" s="23"/>
      <c r="O146" s="23"/>
      <c r="P146" s="23"/>
      <c r="Q146" s="23"/>
      <c r="R146" s="23">
        <f>G146+K146+L146</f>
        <v>20000</v>
      </c>
      <c r="S146" s="25">
        <f>R146*12</f>
        <v>240000</v>
      </c>
    </row>
    <row r="147" spans="1:20" x14ac:dyDescent="0.25">
      <c r="A147" s="20" t="s">
        <v>225</v>
      </c>
      <c r="B147" s="21" t="s">
        <v>91</v>
      </c>
      <c r="C147" s="22">
        <v>1</v>
      </c>
      <c r="D147" s="22">
        <v>7</v>
      </c>
      <c r="E147" s="23">
        <f>5344*C147</f>
        <v>5344</v>
      </c>
      <c r="F147" s="22"/>
      <c r="G147" s="23">
        <f t="shared" si="60"/>
        <v>5344</v>
      </c>
      <c r="H147" s="23"/>
      <c r="I147" s="23"/>
      <c r="J147" s="23"/>
      <c r="K147" s="23">
        <f>G147*0.3</f>
        <v>1603.2</v>
      </c>
      <c r="L147" s="23">
        <f>13500-G147-K147</f>
        <v>6552.8</v>
      </c>
      <c r="M147" s="23"/>
      <c r="N147" s="23"/>
      <c r="O147" s="23"/>
      <c r="P147" s="23"/>
      <c r="Q147" s="23"/>
      <c r="R147" s="23">
        <f>G147+K147+L147</f>
        <v>13500</v>
      </c>
      <c r="S147" s="25">
        <f t="shared" ref="S147:S148" si="61">R147*12</f>
        <v>162000</v>
      </c>
    </row>
    <row r="148" spans="1:20" x14ac:dyDescent="0.25">
      <c r="A148" s="20" t="s">
        <v>226</v>
      </c>
      <c r="B148" s="21" t="s">
        <v>134</v>
      </c>
      <c r="C148" s="22">
        <v>1</v>
      </c>
      <c r="D148" s="22">
        <v>3</v>
      </c>
      <c r="E148" s="23">
        <f>4095*C148</f>
        <v>4095</v>
      </c>
      <c r="F148" s="22"/>
      <c r="G148" s="23">
        <f t="shared" si="60"/>
        <v>4095</v>
      </c>
      <c r="H148" s="23"/>
      <c r="I148" s="23">
        <f>G148*0.1</f>
        <v>409.5</v>
      </c>
      <c r="J148" s="23"/>
      <c r="K148" s="23"/>
      <c r="L148" s="23"/>
      <c r="M148" s="23"/>
      <c r="N148" s="23"/>
      <c r="O148" s="23"/>
      <c r="P148" s="23">
        <f>8647-G148</f>
        <v>4552</v>
      </c>
      <c r="Q148" s="23"/>
      <c r="R148" s="23">
        <f>SUM(G148:Q148)</f>
        <v>9056.5</v>
      </c>
      <c r="S148" s="25">
        <f t="shared" si="61"/>
        <v>108678</v>
      </c>
    </row>
    <row r="149" spans="1:20" x14ac:dyDescent="0.25">
      <c r="A149" s="20" t="s">
        <v>228</v>
      </c>
      <c r="B149" s="21" t="s">
        <v>227</v>
      </c>
      <c r="C149" s="22">
        <v>1.75</v>
      </c>
      <c r="D149" s="22">
        <v>1</v>
      </c>
      <c r="E149" s="23">
        <f>3470*C149</f>
        <v>6072.5</v>
      </c>
      <c r="F149" s="22"/>
      <c r="G149" s="23">
        <f t="shared" si="60"/>
        <v>6072.5</v>
      </c>
      <c r="H149" s="23"/>
      <c r="I149" s="23"/>
      <c r="J149" s="23"/>
      <c r="K149" s="23"/>
      <c r="L149" s="23"/>
      <c r="M149" s="23"/>
      <c r="N149" s="23"/>
      <c r="O149" s="23"/>
      <c r="P149" s="23">
        <f>8647*C149-G149</f>
        <v>9059.75</v>
      </c>
      <c r="Q149" s="23"/>
      <c r="R149" s="23">
        <f>SUM(G149:Q149)</f>
        <v>15132.25</v>
      </c>
      <c r="S149" s="25">
        <f>R149*6</f>
        <v>90793.5</v>
      </c>
    </row>
    <row r="150" spans="1:20" s="38" customFormat="1" x14ac:dyDescent="0.25">
      <c r="A150" s="20" t="s">
        <v>231</v>
      </c>
      <c r="B150" s="21" t="s">
        <v>229</v>
      </c>
      <c r="C150" s="22">
        <v>0.5</v>
      </c>
      <c r="D150" s="22">
        <v>1</v>
      </c>
      <c r="E150" s="23">
        <f>3470*C150</f>
        <v>1735</v>
      </c>
      <c r="F150" s="22"/>
      <c r="G150" s="23">
        <f t="shared" si="60"/>
        <v>1735</v>
      </c>
      <c r="H150" s="23"/>
      <c r="I150" s="23"/>
      <c r="J150" s="23"/>
      <c r="K150" s="23"/>
      <c r="L150" s="23"/>
      <c r="M150" s="23"/>
      <c r="N150" s="23"/>
      <c r="O150" s="23"/>
      <c r="P150" s="23">
        <f>4323.5-G150</f>
        <v>2588.5</v>
      </c>
      <c r="Q150" s="23"/>
      <c r="R150" s="23">
        <f>SUM(G150:Q150)</f>
        <v>4323.5</v>
      </c>
      <c r="S150" s="25">
        <f>R150*12</f>
        <v>51882</v>
      </c>
    </row>
    <row r="151" spans="1:20" s="27" customFormat="1" ht="27" customHeight="1" thickBot="1" x14ac:dyDescent="0.3">
      <c r="A151" s="64"/>
      <c r="B151" s="47" t="s">
        <v>59</v>
      </c>
      <c r="C151" s="34">
        <f>SUM(C146:C150)</f>
        <v>5.25</v>
      </c>
      <c r="D151" s="34"/>
      <c r="E151" s="35">
        <f>SUM(E146:E150)</f>
        <v>24602.5</v>
      </c>
      <c r="F151" s="34">
        <f>SUM(F146:F150)</f>
        <v>735.6</v>
      </c>
      <c r="G151" s="35">
        <f t="shared" si="60"/>
        <v>25338.1</v>
      </c>
      <c r="H151" s="35"/>
      <c r="I151" s="35">
        <f>SUM(I148:I150)</f>
        <v>409.5</v>
      </c>
      <c r="J151" s="35"/>
      <c r="K151" s="35">
        <f>SUM(K146:K150)</f>
        <v>4030.6800000000003</v>
      </c>
      <c r="L151" s="35">
        <f>SUM(L146:L150)</f>
        <v>16033.720000000001</v>
      </c>
      <c r="M151" s="35"/>
      <c r="N151" s="35"/>
      <c r="O151" s="35"/>
      <c r="P151" s="35">
        <f>SUM(P146:P150)</f>
        <v>16200.25</v>
      </c>
      <c r="Q151" s="35"/>
      <c r="R151" s="35">
        <f>SUM(R146:R150)</f>
        <v>62012.25</v>
      </c>
      <c r="S151" s="36">
        <f>SUM(S146:S150)</f>
        <v>653353.5</v>
      </c>
    </row>
    <row r="152" spans="1:20" ht="23.4" customHeight="1" x14ac:dyDescent="0.25">
      <c r="A152" s="15"/>
      <c r="B152" s="55" t="s">
        <v>230</v>
      </c>
      <c r="C152" s="85"/>
      <c r="D152" s="85"/>
      <c r="E152" s="94"/>
      <c r="F152" s="85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110"/>
    </row>
    <row r="153" spans="1:20" x14ac:dyDescent="0.25">
      <c r="A153" s="20" t="s">
        <v>233</v>
      </c>
      <c r="B153" s="21" t="s">
        <v>232</v>
      </c>
      <c r="C153" s="22">
        <v>1.25</v>
      </c>
      <c r="D153" s="22">
        <v>13</v>
      </c>
      <c r="E153" s="23">
        <f>7877*C153</f>
        <v>9846.25</v>
      </c>
      <c r="F153" s="22">
        <f>E153*0.1</f>
        <v>984.625</v>
      </c>
      <c r="G153" s="23">
        <f t="shared" ref="G153:G157" si="62">E153+F153</f>
        <v>10830.875</v>
      </c>
      <c r="H153" s="23"/>
      <c r="I153" s="23"/>
      <c r="J153" s="23"/>
      <c r="K153" s="23">
        <f>G153*0.3</f>
        <v>3249.2624999999998</v>
      </c>
      <c r="L153" s="23">
        <f>20000*C153-G153-K153</f>
        <v>10919.862499999999</v>
      </c>
      <c r="M153" s="23"/>
      <c r="N153" s="23"/>
      <c r="O153" s="23"/>
      <c r="P153" s="23"/>
      <c r="Q153" s="23"/>
      <c r="R153" s="23">
        <f>G153+K153+L153+O153</f>
        <v>25000</v>
      </c>
      <c r="S153" s="25">
        <f>R153*12</f>
        <v>300000</v>
      </c>
    </row>
    <row r="154" spans="1:20" x14ac:dyDescent="0.25">
      <c r="A154" s="20" t="s">
        <v>234</v>
      </c>
      <c r="B154" s="21" t="s">
        <v>212</v>
      </c>
      <c r="C154" s="22">
        <v>2</v>
      </c>
      <c r="D154" s="22">
        <v>10</v>
      </c>
      <c r="E154" s="23">
        <f>6315*C154</f>
        <v>12630</v>
      </c>
      <c r="F154" s="22"/>
      <c r="G154" s="23">
        <f t="shared" si="62"/>
        <v>12630</v>
      </c>
      <c r="H154" s="23"/>
      <c r="I154" s="23"/>
      <c r="J154" s="23"/>
      <c r="K154" s="23">
        <f t="shared" ref="K154:K155" si="63">G154*0.3</f>
        <v>3789</v>
      </c>
      <c r="L154" s="23">
        <f>13500*C154-G154-K154</f>
        <v>10581</v>
      </c>
      <c r="M154" s="23"/>
      <c r="N154" s="23"/>
      <c r="O154" s="23"/>
      <c r="P154" s="23"/>
      <c r="Q154" s="23"/>
      <c r="R154" s="23">
        <f>G154+K154+L154</f>
        <v>27000</v>
      </c>
      <c r="S154" s="25">
        <f t="shared" ref="S154:S156" si="64">R154*12</f>
        <v>324000</v>
      </c>
    </row>
    <row r="155" spans="1:20" s="13" customFormat="1" x14ac:dyDescent="0.25">
      <c r="A155" s="20" t="s">
        <v>236</v>
      </c>
      <c r="B155" s="21" t="s">
        <v>235</v>
      </c>
      <c r="C155" s="22">
        <v>1</v>
      </c>
      <c r="D155" s="22">
        <v>7</v>
      </c>
      <c r="E155" s="23">
        <f>5344*C155</f>
        <v>5344</v>
      </c>
      <c r="F155" s="22"/>
      <c r="G155" s="23">
        <f t="shared" si="62"/>
        <v>5344</v>
      </c>
      <c r="H155" s="23"/>
      <c r="I155" s="23"/>
      <c r="J155" s="23"/>
      <c r="K155" s="23">
        <f t="shared" si="63"/>
        <v>1603.2</v>
      </c>
      <c r="L155" s="23">
        <f>13500-G155-K155</f>
        <v>6552.8</v>
      </c>
      <c r="M155" s="23"/>
      <c r="N155" s="23"/>
      <c r="O155" s="23"/>
      <c r="P155" s="23"/>
      <c r="Q155" s="23"/>
      <c r="R155" s="23">
        <f>G155+L155+K155</f>
        <v>13500</v>
      </c>
      <c r="S155" s="25">
        <f t="shared" si="64"/>
        <v>162000</v>
      </c>
    </row>
    <row r="156" spans="1:20" s="38" customFormat="1" x14ac:dyDescent="0.25">
      <c r="A156" s="20" t="s">
        <v>238</v>
      </c>
      <c r="B156" s="21" t="s">
        <v>134</v>
      </c>
      <c r="C156" s="22">
        <v>1</v>
      </c>
      <c r="D156" s="22">
        <v>3</v>
      </c>
      <c r="E156" s="23">
        <f>4095*C156</f>
        <v>4095</v>
      </c>
      <c r="F156" s="22"/>
      <c r="G156" s="23">
        <f t="shared" si="62"/>
        <v>4095</v>
      </c>
      <c r="H156" s="23"/>
      <c r="I156" s="23">
        <f>G156*0.1</f>
        <v>409.5</v>
      </c>
      <c r="J156" s="23"/>
      <c r="K156" s="23"/>
      <c r="L156" s="23"/>
      <c r="M156" s="23"/>
      <c r="N156" s="23"/>
      <c r="O156" s="23"/>
      <c r="P156" s="23">
        <f>8647-G156</f>
        <v>4552</v>
      </c>
      <c r="Q156" s="23"/>
      <c r="R156" s="23">
        <f>G156+I156+P156</f>
        <v>9056.5</v>
      </c>
      <c r="S156" s="25">
        <f t="shared" si="64"/>
        <v>108678</v>
      </c>
      <c r="T156" s="46"/>
    </row>
    <row r="157" spans="1:20" s="27" customFormat="1" ht="27" customHeight="1" thickBot="1" x14ac:dyDescent="0.3">
      <c r="A157" s="64"/>
      <c r="B157" s="47" t="s">
        <v>59</v>
      </c>
      <c r="C157" s="34">
        <f>SUM(C153:C156)</f>
        <v>5.25</v>
      </c>
      <c r="D157" s="34"/>
      <c r="E157" s="35">
        <f>SUM(E153:E156)</f>
        <v>31915.25</v>
      </c>
      <c r="F157" s="34">
        <f>SUM(F153:F156)</f>
        <v>984.625</v>
      </c>
      <c r="G157" s="35">
        <f t="shared" si="62"/>
        <v>32899.875</v>
      </c>
      <c r="H157" s="35"/>
      <c r="I157" s="35">
        <f>SUM(I156)</f>
        <v>409.5</v>
      </c>
      <c r="J157" s="35"/>
      <c r="K157" s="35">
        <f>SUM(K153:K156)</f>
        <v>8641.4624999999996</v>
      </c>
      <c r="L157" s="35">
        <f>SUM(L153:L156)</f>
        <v>28053.662499999999</v>
      </c>
      <c r="M157" s="35">
        <f>SUM(M153:M155)</f>
        <v>0</v>
      </c>
      <c r="N157" s="35"/>
      <c r="O157" s="35">
        <f>SUM(O153:O156)</f>
        <v>0</v>
      </c>
      <c r="P157" s="35">
        <f>SUM(P156)</f>
        <v>4552</v>
      </c>
      <c r="Q157" s="35"/>
      <c r="R157" s="35">
        <f>SUM(R153:R156)</f>
        <v>74556.5</v>
      </c>
      <c r="S157" s="36">
        <f>SUM(S153:S156)</f>
        <v>894678</v>
      </c>
    </row>
    <row r="158" spans="1:20" ht="17.399999999999999" customHeight="1" x14ac:dyDescent="0.25">
      <c r="A158" s="15"/>
      <c r="B158" s="55" t="s">
        <v>237</v>
      </c>
      <c r="C158" s="85"/>
      <c r="D158" s="85"/>
      <c r="E158" s="94"/>
      <c r="F158" s="85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110"/>
    </row>
    <row r="159" spans="1:20" x14ac:dyDescent="0.25">
      <c r="A159" s="20" t="s">
        <v>239</v>
      </c>
      <c r="B159" s="21" t="s">
        <v>206</v>
      </c>
      <c r="C159" s="22">
        <v>2.25</v>
      </c>
      <c r="D159" s="22">
        <v>11</v>
      </c>
      <c r="E159" s="23">
        <f>6836*C159</f>
        <v>15381</v>
      </c>
      <c r="F159" s="22">
        <f>E159*0.1</f>
        <v>1538.1000000000001</v>
      </c>
      <c r="G159" s="23">
        <f t="shared" ref="G159:G164" si="65">E159+F159</f>
        <v>16919.099999999999</v>
      </c>
      <c r="H159" s="23"/>
      <c r="I159" s="23"/>
      <c r="J159" s="23"/>
      <c r="K159" s="23">
        <f>G159*0.3</f>
        <v>5075.7299999999996</v>
      </c>
      <c r="L159" s="23">
        <f>20000*C159-G159-K159</f>
        <v>23005.170000000002</v>
      </c>
      <c r="M159" s="23"/>
      <c r="N159" s="23"/>
      <c r="O159" s="23"/>
      <c r="P159" s="23"/>
      <c r="Q159" s="23"/>
      <c r="R159" s="23">
        <f>SUM(G159:Q159)</f>
        <v>45000</v>
      </c>
      <c r="S159" s="25">
        <f>R159*12</f>
        <v>540000</v>
      </c>
    </row>
    <row r="160" spans="1:20" x14ac:dyDescent="0.25">
      <c r="A160" s="20" t="s">
        <v>240</v>
      </c>
      <c r="B160" s="21" t="s">
        <v>241</v>
      </c>
      <c r="C160" s="22">
        <v>2</v>
      </c>
      <c r="D160" s="22">
        <v>10</v>
      </c>
      <c r="E160" s="23">
        <f>6315*C160</f>
        <v>12630</v>
      </c>
      <c r="F160" s="22"/>
      <c r="G160" s="23">
        <f t="shared" si="65"/>
        <v>12630</v>
      </c>
      <c r="H160" s="23"/>
      <c r="I160" s="23"/>
      <c r="J160" s="23"/>
      <c r="K160" s="23">
        <f t="shared" ref="K160:K161" si="66">G160*0.3</f>
        <v>3789</v>
      </c>
      <c r="L160" s="23">
        <f>13500*C160-G160-K160</f>
        <v>10581</v>
      </c>
      <c r="M160" s="23"/>
      <c r="N160" s="23"/>
      <c r="O160" s="23"/>
      <c r="P160" s="23"/>
      <c r="Q160" s="23"/>
      <c r="R160" s="23">
        <f>G160+K160+L160</f>
        <v>27000</v>
      </c>
      <c r="S160" s="25">
        <f t="shared" ref="S160:S163" si="67">R160*12</f>
        <v>324000</v>
      </c>
    </row>
    <row r="161" spans="1:20" s="13" customFormat="1" x14ac:dyDescent="0.25">
      <c r="A161" s="20" t="s">
        <v>242</v>
      </c>
      <c r="B161" s="21" t="s">
        <v>91</v>
      </c>
      <c r="C161" s="22">
        <v>2</v>
      </c>
      <c r="D161" s="22">
        <v>9</v>
      </c>
      <c r="E161" s="23">
        <f>6003*C161</f>
        <v>12006</v>
      </c>
      <c r="F161" s="22"/>
      <c r="G161" s="23">
        <f t="shared" si="65"/>
        <v>12006</v>
      </c>
      <c r="H161" s="23"/>
      <c r="I161" s="23"/>
      <c r="J161" s="23"/>
      <c r="K161" s="23">
        <f t="shared" si="66"/>
        <v>3601.7999999999997</v>
      </c>
      <c r="L161" s="23">
        <f>13500*C161-G161-K161</f>
        <v>11392.2</v>
      </c>
      <c r="M161" s="23"/>
      <c r="N161" s="23"/>
      <c r="O161" s="23"/>
      <c r="P161" s="23"/>
      <c r="Q161" s="23"/>
      <c r="R161" s="23">
        <f>G161+K161+L161</f>
        <v>27000</v>
      </c>
      <c r="S161" s="25">
        <f t="shared" si="67"/>
        <v>324000</v>
      </c>
    </row>
    <row r="162" spans="1:20" x14ac:dyDescent="0.25">
      <c r="A162" s="20" t="s">
        <v>243</v>
      </c>
      <c r="B162" s="21" t="s">
        <v>134</v>
      </c>
      <c r="C162" s="22">
        <v>1</v>
      </c>
      <c r="D162" s="22">
        <v>3</v>
      </c>
      <c r="E162" s="23">
        <f>4095*C162</f>
        <v>4095</v>
      </c>
      <c r="F162" s="22"/>
      <c r="G162" s="23">
        <f t="shared" si="65"/>
        <v>4095</v>
      </c>
      <c r="H162" s="23"/>
      <c r="I162" s="23">
        <f>G162*0.1</f>
        <v>409.5</v>
      </c>
      <c r="J162" s="23"/>
      <c r="K162" s="23"/>
      <c r="L162" s="23"/>
      <c r="M162" s="23"/>
      <c r="N162" s="23"/>
      <c r="O162" s="23"/>
      <c r="P162" s="23">
        <f>8647-G162</f>
        <v>4552</v>
      </c>
      <c r="Q162" s="23"/>
      <c r="R162" s="23">
        <f>SUM(G162:Q162)</f>
        <v>9056.5</v>
      </c>
      <c r="S162" s="25">
        <f t="shared" si="67"/>
        <v>108678</v>
      </c>
    </row>
    <row r="163" spans="1:20" s="38" customFormat="1" x14ac:dyDescent="0.25">
      <c r="A163" s="20" t="s">
        <v>244</v>
      </c>
      <c r="B163" s="21" t="s">
        <v>245</v>
      </c>
      <c r="C163" s="22">
        <v>1</v>
      </c>
      <c r="D163" s="22">
        <v>5</v>
      </c>
      <c r="E163" s="23">
        <f>4719*C163</f>
        <v>4719</v>
      </c>
      <c r="F163" s="22"/>
      <c r="G163" s="23">
        <f t="shared" si="65"/>
        <v>4719</v>
      </c>
      <c r="H163" s="23"/>
      <c r="I163" s="23"/>
      <c r="J163" s="23"/>
      <c r="K163" s="23"/>
      <c r="L163" s="23"/>
      <c r="M163" s="23"/>
      <c r="N163" s="23"/>
      <c r="O163" s="23"/>
      <c r="P163" s="23">
        <f>8647-G163</f>
        <v>3928</v>
      </c>
      <c r="Q163" s="23"/>
      <c r="R163" s="23">
        <f>G163+P163</f>
        <v>8647</v>
      </c>
      <c r="S163" s="25">
        <f t="shared" si="67"/>
        <v>103764</v>
      </c>
    </row>
    <row r="164" spans="1:20" s="27" customFormat="1" ht="17.399999999999999" customHeight="1" thickBot="1" x14ac:dyDescent="0.3">
      <c r="A164" s="64"/>
      <c r="B164" s="47" t="s">
        <v>59</v>
      </c>
      <c r="C164" s="34">
        <f>SUM(C159:C163)</f>
        <v>8.25</v>
      </c>
      <c r="D164" s="34"/>
      <c r="E164" s="35">
        <f>SUM(E159:E163)</f>
        <v>48831</v>
      </c>
      <c r="F164" s="34">
        <f>SUM(F159:F163)</f>
        <v>1538.1000000000001</v>
      </c>
      <c r="G164" s="35">
        <f t="shared" si="65"/>
        <v>50369.1</v>
      </c>
      <c r="H164" s="35"/>
      <c r="I164" s="35">
        <f>SUM(I162:I163)</f>
        <v>409.5</v>
      </c>
      <c r="J164" s="35"/>
      <c r="K164" s="35">
        <f>SUM(K159:K163)</f>
        <v>12466.529999999999</v>
      </c>
      <c r="L164" s="35">
        <f>SUM(L159:L163)</f>
        <v>44978.369999999995</v>
      </c>
      <c r="M164" s="35">
        <f>M159</f>
        <v>0</v>
      </c>
      <c r="N164" s="35"/>
      <c r="O164" s="35">
        <f>SUM(O159:O163)</f>
        <v>0</v>
      </c>
      <c r="P164" s="35">
        <f>SUM(P162:P163)</f>
        <v>8480</v>
      </c>
      <c r="Q164" s="35"/>
      <c r="R164" s="35">
        <f>SUM(R159:R163)</f>
        <v>116703.5</v>
      </c>
      <c r="S164" s="36">
        <f>SUM(S159:S163)</f>
        <v>1400442</v>
      </c>
    </row>
    <row r="165" spans="1:20" s="13" customFormat="1" ht="25.8" customHeight="1" x14ac:dyDescent="0.2">
      <c r="A165" s="18"/>
      <c r="B165" s="55" t="s">
        <v>246</v>
      </c>
      <c r="C165" s="85"/>
      <c r="D165" s="85"/>
      <c r="E165" s="94"/>
      <c r="F165" s="85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110"/>
    </row>
    <row r="166" spans="1:20" x14ac:dyDescent="0.25">
      <c r="A166" s="20" t="s">
        <v>247</v>
      </c>
      <c r="B166" s="21" t="s">
        <v>232</v>
      </c>
      <c r="C166" s="22">
        <v>1.25</v>
      </c>
      <c r="D166" s="22">
        <v>11</v>
      </c>
      <c r="E166" s="23">
        <f>6836*C166</f>
        <v>8545</v>
      </c>
      <c r="F166" s="22">
        <f>E166*0.1</f>
        <v>854.5</v>
      </c>
      <c r="G166" s="23">
        <f t="shared" ref="G166:G169" si="68">E166+F166</f>
        <v>9399.5</v>
      </c>
      <c r="H166" s="23"/>
      <c r="I166" s="23"/>
      <c r="J166" s="23"/>
      <c r="K166" s="23">
        <f>G166*0.3</f>
        <v>2819.85</v>
      </c>
      <c r="L166" s="23">
        <f>20000*C166-G166-K166</f>
        <v>12780.65</v>
      </c>
      <c r="M166" s="23"/>
      <c r="N166" s="23"/>
      <c r="O166" s="23"/>
      <c r="P166" s="23"/>
      <c r="Q166" s="23"/>
      <c r="R166" s="23">
        <f>G166+K166+L166+O166</f>
        <v>25000</v>
      </c>
      <c r="S166" s="25">
        <f>R166*12</f>
        <v>300000</v>
      </c>
      <c r="T166" s="53"/>
    </row>
    <row r="167" spans="1:20" x14ac:dyDescent="0.25">
      <c r="A167" s="20" t="s">
        <v>248</v>
      </c>
      <c r="B167" s="21" t="s">
        <v>235</v>
      </c>
      <c r="C167" s="22">
        <v>1</v>
      </c>
      <c r="D167" s="22">
        <v>10</v>
      </c>
      <c r="E167" s="23">
        <f>6315*C167</f>
        <v>6315</v>
      </c>
      <c r="F167" s="22"/>
      <c r="G167" s="23">
        <f t="shared" si="68"/>
        <v>6315</v>
      </c>
      <c r="H167" s="23"/>
      <c r="I167" s="23"/>
      <c r="J167" s="23"/>
      <c r="K167" s="23">
        <f t="shared" ref="K167:K168" si="69">G167*0.3</f>
        <v>1894.5</v>
      </c>
      <c r="L167" s="23">
        <f>13500-G167-K167</f>
        <v>5290.5</v>
      </c>
      <c r="M167" s="23"/>
      <c r="N167" s="23"/>
      <c r="O167" s="23"/>
      <c r="P167" s="23"/>
      <c r="Q167" s="23"/>
      <c r="R167" s="23">
        <f>G167+K167+L167</f>
        <v>13500</v>
      </c>
      <c r="S167" s="25">
        <f t="shared" ref="S167:S170" si="70">R167*12</f>
        <v>162000</v>
      </c>
    </row>
    <row r="168" spans="1:20" x14ac:dyDescent="0.25">
      <c r="A168" s="20" t="s">
        <v>249</v>
      </c>
      <c r="B168" s="21" t="s">
        <v>91</v>
      </c>
      <c r="C168" s="22">
        <v>0.5</v>
      </c>
      <c r="D168" s="22">
        <v>10</v>
      </c>
      <c r="E168" s="23">
        <f>6315*C168</f>
        <v>3157.5</v>
      </c>
      <c r="F168" s="22"/>
      <c r="G168" s="23">
        <f t="shared" si="68"/>
        <v>3157.5</v>
      </c>
      <c r="H168" s="23"/>
      <c r="I168" s="23"/>
      <c r="J168" s="23"/>
      <c r="K168" s="23">
        <f t="shared" si="69"/>
        <v>947.25</v>
      </c>
      <c r="L168" s="23">
        <f>13500/2-G168-K168</f>
        <v>2645.25</v>
      </c>
      <c r="M168" s="23"/>
      <c r="N168" s="23"/>
      <c r="O168" s="23"/>
      <c r="P168" s="23"/>
      <c r="Q168" s="23"/>
      <c r="R168" s="23">
        <f>G168+K168+L168</f>
        <v>6750</v>
      </c>
      <c r="S168" s="25">
        <f t="shared" si="70"/>
        <v>81000</v>
      </c>
    </row>
    <row r="169" spans="1:20" x14ac:dyDescent="0.25">
      <c r="A169" s="20" t="s">
        <v>250</v>
      </c>
      <c r="B169" s="21" t="s">
        <v>134</v>
      </c>
      <c r="C169" s="22">
        <v>0.5</v>
      </c>
      <c r="D169" s="22">
        <v>3</v>
      </c>
      <c r="E169" s="23">
        <f>4095*C169</f>
        <v>2047.5</v>
      </c>
      <c r="F169" s="22"/>
      <c r="G169" s="23">
        <f t="shared" si="68"/>
        <v>2047.5</v>
      </c>
      <c r="H169" s="23"/>
      <c r="I169" s="23">
        <f>G169*0.1</f>
        <v>204.75</v>
      </c>
      <c r="J169" s="23"/>
      <c r="K169" s="23"/>
      <c r="L169" s="23"/>
      <c r="M169" s="23"/>
      <c r="N169" s="23"/>
      <c r="O169" s="23"/>
      <c r="P169" s="23">
        <f>8647/2-G169</f>
        <v>2276</v>
      </c>
      <c r="Q169" s="23"/>
      <c r="R169" s="23">
        <f>SUM(G169:Q169)</f>
        <v>4528.25</v>
      </c>
      <c r="S169" s="25">
        <f t="shared" si="70"/>
        <v>54339</v>
      </c>
    </row>
    <row r="170" spans="1:20" s="38" customFormat="1" x14ac:dyDescent="0.25">
      <c r="A170" s="20" t="s">
        <v>251</v>
      </c>
      <c r="B170" s="21" t="s">
        <v>229</v>
      </c>
      <c r="C170" s="22">
        <v>0.5</v>
      </c>
      <c r="D170" s="22">
        <v>1</v>
      </c>
      <c r="E170" s="23">
        <f>3470</f>
        <v>3470</v>
      </c>
      <c r="F170" s="22"/>
      <c r="G170" s="23">
        <f>E170+F170</f>
        <v>3470</v>
      </c>
      <c r="H170" s="23"/>
      <c r="I170" s="23"/>
      <c r="J170" s="23"/>
      <c r="K170" s="23"/>
      <c r="L170" s="23"/>
      <c r="M170" s="23"/>
      <c r="N170" s="23"/>
      <c r="O170" s="23"/>
      <c r="P170" s="23">
        <f>8647/2-G170</f>
        <v>853.5</v>
      </c>
      <c r="Q170" s="23"/>
      <c r="R170" s="23">
        <f t="shared" ref="R170" si="71">SUM(G170:Q170)</f>
        <v>4323.5</v>
      </c>
      <c r="S170" s="25">
        <f t="shared" si="70"/>
        <v>51882</v>
      </c>
    </row>
    <row r="171" spans="1:20" s="49" customFormat="1" ht="25.8" customHeight="1" thickBot="1" x14ac:dyDescent="0.3">
      <c r="A171" s="64"/>
      <c r="B171" s="47" t="s">
        <v>59</v>
      </c>
      <c r="C171" s="34">
        <f>SUM(C166:C170)</f>
        <v>3.75</v>
      </c>
      <c r="D171" s="34"/>
      <c r="E171" s="35">
        <f>SUM(E166:E170)</f>
        <v>23535</v>
      </c>
      <c r="F171" s="34">
        <f>SUM(F166:F170)</f>
        <v>854.5</v>
      </c>
      <c r="G171" s="35">
        <f>SUM(G166:G170)</f>
        <v>24389.5</v>
      </c>
      <c r="H171" s="35"/>
      <c r="I171" s="35">
        <f>SUM(I169:I170)</f>
        <v>204.75</v>
      </c>
      <c r="J171" s="35"/>
      <c r="K171" s="35">
        <f>SUM(K166:K170)</f>
        <v>5661.6</v>
      </c>
      <c r="L171" s="35">
        <f>SUM(L166:L170)</f>
        <v>20716.400000000001</v>
      </c>
      <c r="M171" s="35"/>
      <c r="N171" s="35"/>
      <c r="O171" s="35">
        <f>SUM(O166:O170)</f>
        <v>0</v>
      </c>
      <c r="P171" s="35">
        <f>SUM(P169:P170)</f>
        <v>3129.5</v>
      </c>
      <c r="Q171" s="35"/>
      <c r="R171" s="35">
        <f>SUM(R166:R170)</f>
        <v>54101.75</v>
      </c>
      <c r="S171" s="36">
        <f>SUM(S166:S170)</f>
        <v>649221</v>
      </c>
    </row>
    <row r="172" spans="1:20" s="13" customFormat="1" ht="23.4" customHeight="1" x14ac:dyDescent="0.2">
      <c r="A172" s="18"/>
      <c r="B172" s="55" t="s">
        <v>252</v>
      </c>
      <c r="C172" s="85"/>
      <c r="D172" s="85"/>
      <c r="E172" s="94"/>
      <c r="F172" s="85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110"/>
    </row>
    <row r="173" spans="1:20" s="13" customFormat="1" x14ac:dyDescent="0.25">
      <c r="A173" s="20" t="s">
        <v>253</v>
      </c>
      <c r="B173" s="21" t="s">
        <v>206</v>
      </c>
      <c r="C173" s="22">
        <v>1</v>
      </c>
      <c r="D173" s="22">
        <v>14</v>
      </c>
      <c r="E173" s="23">
        <f>8397*C173</f>
        <v>8397</v>
      </c>
      <c r="F173" s="22">
        <f>E173*0.1</f>
        <v>839.7</v>
      </c>
      <c r="G173" s="23">
        <f t="shared" ref="G173:G180" si="72">E173+F173</f>
        <v>9236.7000000000007</v>
      </c>
      <c r="H173" s="23"/>
      <c r="I173" s="23"/>
      <c r="J173" s="23"/>
      <c r="K173" s="23">
        <f>G173*0.3</f>
        <v>2771.01</v>
      </c>
      <c r="L173" s="23">
        <f>20000-G173-K173</f>
        <v>7992.2899999999991</v>
      </c>
      <c r="M173" s="23"/>
      <c r="N173" s="23"/>
      <c r="O173" s="23"/>
      <c r="P173" s="23"/>
      <c r="Q173" s="23"/>
      <c r="R173" s="23">
        <f>G173+K173+L173+O173</f>
        <v>20000</v>
      </c>
      <c r="S173" s="25">
        <f>R173*12</f>
        <v>240000</v>
      </c>
    </row>
    <row r="174" spans="1:20" s="13" customFormat="1" x14ac:dyDescent="0.25">
      <c r="A174" s="20" t="s">
        <v>254</v>
      </c>
      <c r="B174" s="21" t="s">
        <v>112</v>
      </c>
      <c r="C174" s="22">
        <v>0.5</v>
      </c>
      <c r="D174" s="22">
        <v>13</v>
      </c>
      <c r="E174" s="23">
        <f>7877*C174</f>
        <v>3938.5</v>
      </c>
      <c r="F174" s="22"/>
      <c r="G174" s="23">
        <f t="shared" si="72"/>
        <v>3938.5</v>
      </c>
      <c r="H174" s="23"/>
      <c r="I174" s="23"/>
      <c r="J174" s="23"/>
      <c r="K174" s="23">
        <f t="shared" ref="K174:K177" si="73">G174*0.3</f>
        <v>1181.55</v>
      </c>
      <c r="L174" s="23">
        <f>20000*C174-G174-K174</f>
        <v>4879.95</v>
      </c>
      <c r="M174" s="23"/>
      <c r="N174" s="23"/>
      <c r="O174" s="23"/>
      <c r="P174" s="23"/>
      <c r="Q174" s="23"/>
      <c r="R174" s="23">
        <f>G174+K174+L174+O174</f>
        <v>10000</v>
      </c>
      <c r="S174" s="25">
        <f t="shared" ref="S174:S179" si="74">R174*12</f>
        <v>120000</v>
      </c>
    </row>
    <row r="175" spans="1:20" x14ac:dyDescent="0.25">
      <c r="A175" s="20" t="s">
        <v>255</v>
      </c>
      <c r="B175" s="21" t="s">
        <v>171</v>
      </c>
      <c r="C175" s="22">
        <v>1</v>
      </c>
      <c r="D175" s="22">
        <v>11</v>
      </c>
      <c r="E175" s="23">
        <f>6836*C175</f>
        <v>6836</v>
      </c>
      <c r="F175" s="22"/>
      <c r="G175" s="23">
        <f t="shared" si="72"/>
        <v>6836</v>
      </c>
      <c r="H175" s="23"/>
      <c r="I175" s="23"/>
      <c r="J175" s="23"/>
      <c r="K175" s="23">
        <f t="shared" si="73"/>
        <v>2050.7999999999997</v>
      </c>
      <c r="L175" s="23">
        <f>20000-G175-K175</f>
        <v>11113.2</v>
      </c>
      <c r="M175" s="23"/>
      <c r="N175" s="23"/>
      <c r="O175" s="23"/>
      <c r="P175" s="23"/>
      <c r="Q175" s="23"/>
      <c r="R175" s="23">
        <f>G175+K175+L175+O175</f>
        <v>20000</v>
      </c>
      <c r="S175" s="25">
        <f t="shared" si="74"/>
        <v>240000</v>
      </c>
    </row>
    <row r="176" spans="1:20" x14ac:dyDescent="0.25">
      <c r="A176" s="20" t="s">
        <v>256</v>
      </c>
      <c r="B176" s="21" t="s">
        <v>212</v>
      </c>
      <c r="C176" s="22">
        <v>1</v>
      </c>
      <c r="D176" s="22">
        <v>10</v>
      </c>
      <c r="E176" s="23">
        <f>6315*C176</f>
        <v>6315</v>
      </c>
      <c r="F176" s="22"/>
      <c r="G176" s="23">
        <f t="shared" si="72"/>
        <v>6315</v>
      </c>
      <c r="H176" s="23"/>
      <c r="I176" s="23"/>
      <c r="J176" s="23"/>
      <c r="K176" s="23">
        <f t="shared" si="73"/>
        <v>1894.5</v>
      </c>
      <c r="L176" s="23">
        <f>13500-G176-K176</f>
        <v>5290.5</v>
      </c>
      <c r="M176" s="23"/>
      <c r="N176" s="23"/>
      <c r="O176" s="23"/>
      <c r="P176" s="23"/>
      <c r="Q176" s="23"/>
      <c r="R176" s="23">
        <f>G176+K176+L176</f>
        <v>13500</v>
      </c>
      <c r="S176" s="25">
        <f t="shared" si="74"/>
        <v>162000</v>
      </c>
    </row>
    <row r="177" spans="1:20" x14ac:dyDescent="0.25">
      <c r="A177" s="20" t="s">
        <v>257</v>
      </c>
      <c r="B177" s="21" t="s">
        <v>235</v>
      </c>
      <c r="C177" s="22">
        <v>2</v>
      </c>
      <c r="D177" s="22">
        <v>10</v>
      </c>
      <c r="E177" s="23">
        <f>5815*C177</f>
        <v>11630</v>
      </c>
      <c r="F177" s="22"/>
      <c r="G177" s="23">
        <f t="shared" si="72"/>
        <v>11630</v>
      </c>
      <c r="H177" s="23"/>
      <c r="I177" s="23"/>
      <c r="J177" s="23"/>
      <c r="K177" s="23">
        <f t="shared" si="73"/>
        <v>3489</v>
      </c>
      <c r="L177" s="23">
        <f>13500*C177-G177-K177</f>
        <v>11881</v>
      </c>
      <c r="M177" s="23"/>
      <c r="N177" s="23"/>
      <c r="O177" s="23"/>
      <c r="P177" s="23"/>
      <c r="Q177" s="23"/>
      <c r="R177" s="23">
        <f t="shared" ref="R177" si="75">G177+K177+L177</f>
        <v>27000</v>
      </c>
      <c r="S177" s="25">
        <f t="shared" si="74"/>
        <v>324000</v>
      </c>
    </row>
    <row r="178" spans="1:20" x14ac:dyDescent="0.25">
      <c r="A178" s="20" t="s">
        <v>258</v>
      </c>
      <c r="B178" s="21" t="s">
        <v>134</v>
      </c>
      <c r="C178" s="22">
        <v>1</v>
      </c>
      <c r="D178" s="22">
        <v>3</v>
      </c>
      <c r="E178" s="23">
        <f>4095*C178</f>
        <v>4095</v>
      </c>
      <c r="F178" s="22"/>
      <c r="G178" s="23">
        <f t="shared" si="72"/>
        <v>4095</v>
      </c>
      <c r="H178" s="23"/>
      <c r="I178" s="23">
        <f>G178*0.1</f>
        <v>409.5</v>
      </c>
      <c r="J178" s="23"/>
      <c r="K178" s="23"/>
      <c r="L178" s="23"/>
      <c r="M178" s="23"/>
      <c r="N178" s="23"/>
      <c r="O178" s="23"/>
      <c r="P178" s="23">
        <f>8647-G178</f>
        <v>4552</v>
      </c>
      <c r="Q178" s="23"/>
      <c r="R178" s="23">
        <f>G178+I178+P178</f>
        <v>9056.5</v>
      </c>
      <c r="S178" s="25">
        <f t="shared" si="74"/>
        <v>108678</v>
      </c>
      <c r="T178" s="53"/>
    </row>
    <row r="179" spans="1:20" s="38" customFormat="1" x14ac:dyDescent="0.25">
      <c r="A179" s="20" t="s">
        <v>260</v>
      </c>
      <c r="B179" s="21" t="s">
        <v>245</v>
      </c>
      <c r="C179" s="22">
        <v>0.5</v>
      </c>
      <c r="D179" s="22">
        <v>5</v>
      </c>
      <c r="E179" s="23">
        <f>4719*C179</f>
        <v>2359.5</v>
      </c>
      <c r="F179" s="22"/>
      <c r="G179" s="23">
        <f t="shared" si="72"/>
        <v>2359.5</v>
      </c>
      <c r="H179" s="23"/>
      <c r="I179" s="23"/>
      <c r="J179" s="23"/>
      <c r="K179" s="23"/>
      <c r="L179" s="23"/>
      <c r="M179" s="23"/>
      <c r="N179" s="23"/>
      <c r="O179" s="23"/>
      <c r="P179" s="23">
        <f>8647/2-G179</f>
        <v>1964</v>
      </c>
      <c r="Q179" s="23"/>
      <c r="R179" s="23">
        <f>SUM(G179:Q179)</f>
        <v>4323.5</v>
      </c>
      <c r="S179" s="25">
        <f t="shared" si="74"/>
        <v>51882</v>
      </c>
    </row>
    <row r="180" spans="1:20" s="49" customFormat="1" ht="45" customHeight="1" thickBot="1" x14ac:dyDescent="0.3">
      <c r="A180" s="64"/>
      <c r="B180" s="47" t="s">
        <v>59</v>
      </c>
      <c r="C180" s="34">
        <f>SUM(C173:C179)</f>
        <v>7</v>
      </c>
      <c r="D180" s="34"/>
      <c r="E180" s="35">
        <f>SUM(E173:E179)</f>
        <v>43571</v>
      </c>
      <c r="F180" s="34">
        <f>SUM(F173:F179)</f>
        <v>839.7</v>
      </c>
      <c r="G180" s="35">
        <f t="shared" si="72"/>
        <v>44410.7</v>
      </c>
      <c r="H180" s="35"/>
      <c r="I180" s="35">
        <f>SUM(I178:I179)</f>
        <v>409.5</v>
      </c>
      <c r="J180" s="35"/>
      <c r="K180" s="35">
        <f>SUM(K173:K179)</f>
        <v>11386.86</v>
      </c>
      <c r="L180" s="35">
        <f>SUM(L173:L179)</f>
        <v>41156.94</v>
      </c>
      <c r="M180" s="35"/>
      <c r="N180" s="35"/>
      <c r="O180" s="35">
        <f>SUM(O173:O179)</f>
        <v>0</v>
      </c>
      <c r="P180" s="35">
        <f>SUM(P173:P179)</f>
        <v>6516</v>
      </c>
      <c r="Q180" s="35"/>
      <c r="R180" s="35">
        <f>SUM(R173:R179)</f>
        <v>103880</v>
      </c>
      <c r="S180" s="36">
        <f>SUM(S173:S179)</f>
        <v>1246560</v>
      </c>
    </row>
    <row r="181" spans="1:20" s="13" customFormat="1" ht="22.8" customHeight="1" x14ac:dyDescent="0.2">
      <c r="A181" s="18"/>
      <c r="B181" s="55" t="s">
        <v>259</v>
      </c>
      <c r="C181" s="85"/>
      <c r="D181" s="85"/>
      <c r="E181" s="94"/>
      <c r="F181" s="85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110"/>
    </row>
    <row r="182" spans="1:20" s="13" customFormat="1" x14ac:dyDescent="0.25">
      <c r="A182" s="20" t="s">
        <v>261</v>
      </c>
      <c r="B182" s="21" t="s">
        <v>206</v>
      </c>
      <c r="C182" s="22">
        <v>0.75</v>
      </c>
      <c r="D182" s="22">
        <v>14</v>
      </c>
      <c r="E182" s="23">
        <f>8397*C182</f>
        <v>6297.75</v>
      </c>
      <c r="F182" s="22">
        <f>E182*0.1</f>
        <v>629.77500000000009</v>
      </c>
      <c r="G182" s="23">
        <f t="shared" ref="G182:G185" si="76">E182+F182</f>
        <v>6927.5249999999996</v>
      </c>
      <c r="H182" s="23"/>
      <c r="I182" s="23"/>
      <c r="J182" s="23"/>
      <c r="K182" s="23"/>
      <c r="L182" s="23">
        <f>20000*C182-G182</f>
        <v>8072.4750000000004</v>
      </c>
      <c r="M182" s="23"/>
      <c r="N182" s="23"/>
      <c r="O182" s="23"/>
      <c r="P182" s="23"/>
      <c r="Q182" s="23"/>
      <c r="R182" s="23">
        <f>SUM(G182:Q182)</f>
        <v>15000</v>
      </c>
      <c r="S182" s="25">
        <f>R182*12</f>
        <v>180000</v>
      </c>
    </row>
    <row r="183" spans="1:20" x14ac:dyDescent="0.25">
      <c r="A183" s="20" t="s">
        <v>262</v>
      </c>
      <c r="B183" s="21" t="s">
        <v>235</v>
      </c>
      <c r="C183" s="22">
        <v>1</v>
      </c>
      <c r="D183" s="22">
        <v>10</v>
      </c>
      <c r="E183" s="23">
        <f>6315*C183</f>
        <v>6315</v>
      </c>
      <c r="F183" s="22"/>
      <c r="G183" s="23">
        <f t="shared" si="76"/>
        <v>6315</v>
      </c>
      <c r="H183" s="23"/>
      <c r="I183" s="23"/>
      <c r="J183" s="23"/>
      <c r="K183" s="23">
        <f>G183*0.3</f>
        <v>1894.5</v>
      </c>
      <c r="L183" s="23">
        <f>13500-G183-K183</f>
        <v>5290.5</v>
      </c>
      <c r="M183" s="23"/>
      <c r="N183" s="23"/>
      <c r="O183" s="23"/>
      <c r="P183" s="23"/>
      <c r="Q183" s="23"/>
      <c r="R183" s="23">
        <f>G183+K183+L183</f>
        <v>13500</v>
      </c>
      <c r="S183" s="25">
        <f t="shared" ref="S183:S184" si="77">R183*12</f>
        <v>162000</v>
      </c>
      <c r="T183" s="53"/>
    </row>
    <row r="184" spans="1:20" s="38" customFormat="1" x14ac:dyDescent="0.25">
      <c r="A184" s="20" t="s">
        <v>264</v>
      </c>
      <c r="B184" s="21" t="s">
        <v>134</v>
      </c>
      <c r="C184" s="22">
        <v>1</v>
      </c>
      <c r="D184" s="22">
        <v>3</v>
      </c>
      <c r="E184" s="23">
        <f>4095*C184</f>
        <v>4095</v>
      </c>
      <c r="F184" s="22"/>
      <c r="G184" s="23">
        <f t="shared" si="76"/>
        <v>4095</v>
      </c>
      <c r="H184" s="23"/>
      <c r="I184" s="23">
        <f>G184*0.1</f>
        <v>409.5</v>
      </c>
      <c r="J184" s="23"/>
      <c r="K184" s="23"/>
      <c r="L184" s="23"/>
      <c r="M184" s="23"/>
      <c r="N184" s="23"/>
      <c r="O184" s="23"/>
      <c r="P184" s="23">
        <f>8647-G184</f>
        <v>4552</v>
      </c>
      <c r="Q184" s="23"/>
      <c r="R184" s="23">
        <f>G184+I184+P184</f>
        <v>9056.5</v>
      </c>
      <c r="S184" s="25">
        <f t="shared" si="77"/>
        <v>108678</v>
      </c>
    </row>
    <row r="185" spans="1:20" s="49" customFormat="1" ht="23.4" customHeight="1" thickBot="1" x14ac:dyDescent="0.3">
      <c r="A185" s="64"/>
      <c r="B185" s="47" t="s">
        <v>59</v>
      </c>
      <c r="C185" s="34">
        <f>SUM(C182:C184)</f>
        <v>2.75</v>
      </c>
      <c r="D185" s="34"/>
      <c r="E185" s="35">
        <f>SUM(E182:E184)</f>
        <v>16707.75</v>
      </c>
      <c r="F185" s="34">
        <f>SUM(F182:F184)</f>
        <v>629.77500000000009</v>
      </c>
      <c r="G185" s="35">
        <f t="shared" si="76"/>
        <v>17337.525000000001</v>
      </c>
      <c r="H185" s="35"/>
      <c r="I185" s="35">
        <f>SUM(I184)</f>
        <v>409.5</v>
      </c>
      <c r="J185" s="35"/>
      <c r="K185" s="35">
        <f>K183</f>
        <v>1894.5</v>
      </c>
      <c r="L185" s="35">
        <f>L182+L183</f>
        <v>13362.975</v>
      </c>
      <c r="M185" s="35">
        <f>M182</f>
        <v>0</v>
      </c>
      <c r="N185" s="35"/>
      <c r="O185" s="35"/>
      <c r="P185" s="35">
        <f>SUM(P184)</f>
        <v>4552</v>
      </c>
      <c r="Q185" s="35"/>
      <c r="R185" s="35">
        <f>SUM(R182:R184)</f>
        <v>37556.5</v>
      </c>
      <c r="S185" s="36">
        <f>SUM(S182:S184)</f>
        <v>450678</v>
      </c>
    </row>
    <row r="186" spans="1:20" ht="21" customHeight="1" x14ac:dyDescent="0.25">
      <c r="A186" s="15"/>
      <c r="B186" s="55" t="s">
        <v>312</v>
      </c>
      <c r="C186" s="85"/>
      <c r="D186" s="85"/>
      <c r="E186" s="94"/>
      <c r="F186" s="85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110"/>
    </row>
    <row r="187" spans="1:20" ht="24.6" customHeight="1" x14ac:dyDescent="0.25">
      <c r="A187" s="20"/>
      <c r="B187" s="44" t="s">
        <v>263</v>
      </c>
      <c r="C187" s="22"/>
      <c r="D187" s="22"/>
      <c r="E187" s="23"/>
      <c r="F187" s="22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5"/>
    </row>
    <row r="188" spans="1:20" x14ac:dyDescent="0.25">
      <c r="A188" s="20" t="s">
        <v>264</v>
      </c>
      <c r="B188" s="21" t="s">
        <v>220</v>
      </c>
      <c r="C188" s="22">
        <v>0.5</v>
      </c>
      <c r="D188" s="22">
        <v>10</v>
      </c>
      <c r="E188" s="23">
        <f>6315*C188</f>
        <v>3157.5</v>
      </c>
      <c r="F188" s="22"/>
      <c r="G188" s="23">
        <f t="shared" ref="G188:G191" si="78">E188+F188</f>
        <v>3157.5</v>
      </c>
      <c r="H188" s="23"/>
      <c r="I188" s="23"/>
      <c r="J188" s="23"/>
      <c r="K188" s="23">
        <f>G188*0.3</f>
        <v>947.25</v>
      </c>
      <c r="L188" s="23">
        <f>R188-K188-G188</f>
        <v>2645.25</v>
      </c>
      <c r="M188" s="23"/>
      <c r="N188" s="23"/>
      <c r="O188" s="23"/>
      <c r="P188" s="23"/>
      <c r="Q188" s="23"/>
      <c r="R188" s="23">
        <v>6750</v>
      </c>
      <c r="S188" s="25">
        <f>R188*12</f>
        <v>81000</v>
      </c>
    </row>
    <row r="189" spans="1:20" x14ac:dyDescent="0.25">
      <c r="A189" s="20" t="s">
        <v>265</v>
      </c>
      <c r="B189" s="21" t="s">
        <v>134</v>
      </c>
      <c r="C189" s="22">
        <v>0.25</v>
      </c>
      <c r="D189" s="22">
        <v>3</v>
      </c>
      <c r="E189" s="23">
        <f>4095*C189</f>
        <v>1023.75</v>
      </c>
      <c r="F189" s="22"/>
      <c r="G189" s="23">
        <f t="shared" si="78"/>
        <v>1023.75</v>
      </c>
      <c r="H189" s="23"/>
      <c r="I189" s="23">
        <f>G189*0.1</f>
        <v>102.375</v>
      </c>
      <c r="J189" s="23"/>
      <c r="K189" s="23"/>
      <c r="L189" s="23"/>
      <c r="M189" s="23"/>
      <c r="N189" s="23"/>
      <c r="O189" s="23"/>
      <c r="P189" s="23">
        <f>8647*0.25-G189</f>
        <v>1138</v>
      </c>
      <c r="Q189" s="23"/>
      <c r="R189" s="23">
        <f>E189+I189+P189</f>
        <v>2264.125</v>
      </c>
      <c r="S189" s="25">
        <f>R189*12</f>
        <v>27169.5</v>
      </c>
    </row>
    <row r="190" spans="1:20" s="38" customFormat="1" x14ac:dyDescent="0.25">
      <c r="A190" s="20" t="s">
        <v>266</v>
      </c>
      <c r="B190" s="21" t="s">
        <v>267</v>
      </c>
      <c r="C190" s="22">
        <v>0.25</v>
      </c>
      <c r="D190" s="22">
        <v>1</v>
      </c>
      <c r="E190" s="23">
        <f>3470*C190</f>
        <v>867.5</v>
      </c>
      <c r="F190" s="22"/>
      <c r="G190" s="23">
        <f t="shared" si="78"/>
        <v>867.5</v>
      </c>
      <c r="H190" s="23"/>
      <c r="I190" s="23"/>
      <c r="J190" s="23"/>
      <c r="K190" s="23"/>
      <c r="L190" s="23"/>
      <c r="M190" s="23"/>
      <c r="N190" s="23"/>
      <c r="O190" s="23"/>
      <c r="P190" s="23">
        <f>8647*0.25-G190</f>
        <v>1294.25</v>
      </c>
      <c r="Q190" s="23"/>
      <c r="R190" s="23">
        <f>E190+P190</f>
        <v>2161.75</v>
      </c>
      <c r="S190" s="25">
        <f>R190*6</f>
        <v>12970.5</v>
      </c>
    </row>
    <row r="191" spans="1:20" s="27" customFormat="1" ht="24" customHeight="1" thickBot="1" x14ac:dyDescent="0.3">
      <c r="A191" s="112"/>
      <c r="B191" s="113" t="s">
        <v>59</v>
      </c>
      <c r="C191" s="114">
        <f>C188+C189+C190</f>
        <v>1</v>
      </c>
      <c r="D191" s="114"/>
      <c r="E191" s="115">
        <f>E188+E189+E190</f>
        <v>5048.75</v>
      </c>
      <c r="F191" s="114"/>
      <c r="G191" s="115">
        <f t="shared" si="78"/>
        <v>5048.75</v>
      </c>
      <c r="H191" s="115"/>
      <c r="I191" s="115">
        <f>SUM(I189)</f>
        <v>102.375</v>
      </c>
      <c r="J191" s="115"/>
      <c r="K191" s="115">
        <f>SUM(K188:K189)</f>
        <v>947.25</v>
      </c>
      <c r="L191" s="115">
        <f>SUM(L188:L189)</f>
        <v>2645.25</v>
      </c>
      <c r="M191" s="115"/>
      <c r="N191" s="115"/>
      <c r="O191" s="115"/>
      <c r="P191" s="115">
        <f>P189+P190</f>
        <v>2432.25</v>
      </c>
      <c r="Q191" s="115"/>
      <c r="R191" s="115">
        <f>SUM(R188:R190)</f>
        <v>11175.875</v>
      </c>
      <c r="S191" s="116">
        <f>SUM(S188:S190)</f>
        <v>121140</v>
      </c>
    </row>
    <row r="192" spans="1:20" s="13" customFormat="1" ht="20.399999999999999" customHeight="1" x14ac:dyDescent="0.2">
      <c r="A192" s="18"/>
      <c r="B192" s="55" t="s">
        <v>268</v>
      </c>
      <c r="C192" s="85"/>
      <c r="D192" s="85"/>
      <c r="E192" s="94"/>
      <c r="F192" s="85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110"/>
    </row>
    <row r="193" spans="1:20" x14ac:dyDescent="0.25">
      <c r="A193" s="20" t="s">
        <v>269</v>
      </c>
      <c r="B193" s="21" t="s">
        <v>220</v>
      </c>
      <c r="C193" s="22">
        <v>0.5</v>
      </c>
      <c r="D193" s="22">
        <v>9</v>
      </c>
      <c r="E193" s="23">
        <f>6003*C193</f>
        <v>3001.5</v>
      </c>
      <c r="F193" s="22"/>
      <c r="G193" s="23">
        <f t="shared" ref="G193:G196" si="79">E193+F193</f>
        <v>3001.5</v>
      </c>
      <c r="H193" s="23"/>
      <c r="I193" s="23"/>
      <c r="J193" s="23"/>
      <c r="K193" s="23">
        <f>G193*0.3</f>
        <v>900.44999999999993</v>
      </c>
      <c r="L193" s="23">
        <f>6750-G193-K193</f>
        <v>2848.05</v>
      </c>
      <c r="M193" s="23"/>
      <c r="N193" s="23"/>
      <c r="O193" s="23"/>
      <c r="P193" s="23"/>
      <c r="Q193" s="23"/>
      <c r="R193" s="23">
        <f>G193+K193+L193</f>
        <v>6750</v>
      </c>
      <c r="S193" s="25">
        <f>R193*12</f>
        <v>81000</v>
      </c>
    </row>
    <row r="194" spans="1:20" x14ac:dyDescent="0.25">
      <c r="A194" s="20" t="s">
        <v>270</v>
      </c>
      <c r="B194" s="21" t="s">
        <v>134</v>
      </c>
      <c r="C194" s="22">
        <v>0.25</v>
      </c>
      <c r="D194" s="22">
        <v>3</v>
      </c>
      <c r="E194" s="23">
        <f>4095*C194</f>
        <v>1023.75</v>
      </c>
      <c r="F194" s="22"/>
      <c r="G194" s="23">
        <f t="shared" si="79"/>
        <v>1023.75</v>
      </c>
      <c r="H194" s="23"/>
      <c r="I194" s="23">
        <f>G194*0.1</f>
        <v>102.375</v>
      </c>
      <c r="J194" s="23"/>
      <c r="K194" s="23"/>
      <c r="L194" s="23"/>
      <c r="M194" s="23"/>
      <c r="N194" s="23"/>
      <c r="O194" s="23"/>
      <c r="P194" s="23">
        <f>8647*0.25-G194</f>
        <v>1138</v>
      </c>
      <c r="Q194" s="23"/>
      <c r="R194" s="23">
        <f>E194+I194+P194</f>
        <v>2264.125</v>
      </c>
      <c r="S194" s="25">
        <f>R194*12</f>
        <v>27169.5</v>
      </c>
    </row>
    <row r="195" spans="1:20" s="38" customFormat="1" x14ac:dyDescent="0.25">
      <c r="A195" s="20" t="s">
        <v>271</v>
      </c>
      <c r="B195" s="21" t="s">
        <v>227</v>
      </c>
      <c r="C195" s="22">
        <v>0.5</v>
      </c>
      <c r="D195" s="22">
        <v>1</v>
      </c>
      <c r="E195" s="23">
        <f>3470*C195</f>
        <v>1735</v>
      </c>
      <c r="F195" s="22"/>
      <c r="G195" s="23">
        <f t="shared" si="79"/>
        <v>1735</v>
      </c>
      <c r="H195" s="23"/>
      <c r="I195" s="23"/>
      <c r="J195" s="23"/>
      <c r="K195" s="23"/>
      <c r="L195" s="23"/>
      <c r="M195" s="23"/>
      <c r="N195" s="23"/>
      <c r="O195" s="23"/>
      <c r="P195" s="23">
        <f>8647/2-G195</f>
        <v>2588.5</v>
      </c>
      <c r="Q195" s="23"/>
      <c r="R195" s="23">
        <f>E195+P195</f>
        <v>4323.5</v>
      </c>
      <c r="S195" s="25">
        <f>R195*6</f>
        <v>25941</v>
      </c>
    </row>
    <row r="196" spans="1:20" s="27" customFormat="1" ht="27.6" customHeight="1" thickBot="1" x14ac:dyDescent="0.3">
      <c r="A196" s="64"/>
      <c r="B196" s="47" t="s">
        <v>59</v>
      </c>
      <c r="C196" s="34">
        <f>C193+C194+C195</f>
        <v>1.25</v>
      </c>
      <c r="D196" s="34"/>
      <c r="E196" s="35">
        <f>E193+E194+E195</f>
        <v>5760.25</v>
      </c>
      <c r="F196" s="34"/>
      <c r="G196" s="35">
        <f t="shared" si="79"/>
        <v>5760.25</v>
      </c>
      <c r="H196" s="35"/>
      <c r="I196" s="35">
        <f>SUM(I193:I194)</f>
        <v>102.375</v>
      </c>
      <c r="J196" s="35"/>
      <c r="K196" s="35">
        <f>SUM(K193:K195)</f>
        <v>900.44999999999993</v>
      </c>
      <c r="L196" s="35">
        <f>SUM(L192:L194)</f>
        <v>2848.05</v>
      </c>
      <c r="M196" s="35"/>
      <c r="N196" s="35"/>
      <c r="O196" s="35"/>
      <c r="P196" s="35">
        <f>P194+P195</f>
        <v>3726.5</v>
      </c>
      <c r="Q196" s="35"/>
      <c r="R196" s="35">
        <f>SUM(R193:R195)</f>
        <v>13337.625</v>
      </c>
      <c r="S196" s="36">
        <f>SUM(S193:S195)</f>
        <v>134110.5</v>
      </c>
    </row>
    <row r="197" spans="1:20" ht="22.8" customHeight="1" x14ac:dyDescent="0.25">
      <c r="A197" s="57"/>
      <c r="B197" s="111" t="s">
        <v>272</v>
      </c>
      <c r="C197" s="91"/>
      <c r="D197" s="91"/>
      <c r="E197" s="51"/>
      <c r="F197" s="9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141"/>
      <c r="T197" s="142"/>
    </row>
    <row r="198" spans="1:20" x14ac:dyDescent="0.25">
      <c r="A198" s="20" t="s">
        <v>273</v>
      </c>
      <c r="B198" s="21" t="s">
        <v>130</v>
      </c>
      <c r="C198" s="22">
        <v>1</v>
      </c>
      <c r="D198" s="22">
        <v>10</v>
      </c>
      <c r="E198" s="23">
        <f>6315*C198</f>
        <v>6315</v>
      </c>
      <c r="F198" s="22"/>
      <c r="G198" s="23">
        <f t="shared" ref="G198:G201" si="80">E198+F198</f>
        <v>6315</v>
      </c>
      <c r="H198" s="23"/>
      <c r="I198" s="23"/>
      <c r="J198" s="23"/>
      <c r="K198" s="23">
        <f>G198*0.3</f>
        <v>1894.5</v>
      </c>
      <c r="L198" s="23">
        <f>13500-G198-K198</f>
        <v>5290.5</v>
      </c>
      <c r="M198" s="23"/>
      <c r="N198" s="23"/>
      <c r="O198" s="23"/>
      <c r="P198" s="23"/>
      <c r="Q198" s="23"/>
      <c r="R198" s="23">
        <f>G198+K198+L198</f>
        <v>13500</v>
      </c>
      <c r="S198" s="25">
        <f>R198*12</f>
        <v>162000</v>
      </c>
    </row>
    <row r="199" spans="1:20" x14ac:dyDescent="0.25">
      <c r="A199" s="20" t="s">
        <v>274</v>
      </c>
      <c r="B199" s="21" t="s">
        <v>134</v>
      </c>
      <c r="C199" s="22">
        <v>0.25</v>
      </c>
      <c r="D199" s="22">
        <v>3</v>
      </c>
      <c r="E199" s="23">
        <f>4095*C199</f>
        <v>1023.75</v>
      </c>
      <c r="F199" s="22"/>
      <c r="G199" s="23">
        <f t="shared" si="80"/>
        <v>1023.75</v>
      </c>
      <c r="H199" s="23"/>
      <c r="I199" s="23">
        <f>G199*0.1</f>
        <v>102.375</v>
      </c>
      <c r="J199" s="23"/>
      <c r="K199" s="23"/>
      <c r="L199" s="23"/>
      <c r="M199" s="23"/>
      <c r="N199" s="23"/>
      <c r="O199" s="23"/>
      <c r="P199" s="23">
        <f>8647*0.25-G199</f>
        <v>1138</v>
      </c>
      <c r="Q199" s="23"/>
      <c r="R199" s="23">
        <f>E199+I199+P199</f>
        <v>2264.125</v>
      </c>
      <c r="S199" s="25">
        <f>R199*12</f>
        <v>27169.5</v>
      </c>
    </row>
    <row r="200" spans="1:20" s="38" customFormat="1" x14ac:dyDescent="0.25">
      <c r="A200" s="20" t="s">
        <v>275</v>
      </c>
      <c r="B200" s="21" t="s">
        <v>267</v>
      </c>
      <c r="C200" s="22">
        <v>0.25</v>
      </c>
      <c r="D200" s="22">
        <v>1</v>
      </c>
      <c r="E200" s="23">
        <f>3470*C200</f>
        <v>867.5</v>
      </c>
      <c r="F200" s="22"/>
      <c r="G200" s="23">
        <f t="shared" si="80"/>
        <v>867.5</v>
      </c>
      <c r="H200" s="23"/>
      <c r="I200" s="23"/>
      <c r="J200" s="23"/>
      <c r="K200" s="23"/>
      <c r="L200" s="23"/>
      <c r="M200" s="23"/>
      <c r="N200" s="23"/>
      <c r="O200" s="23"/>
      <c r="P200" s="23">
        <f>8647*0.25-G200</f>
        <v>1294.25</v>
      </c>
      <c r="Q200" s="23"/>
      <c r="R200" s="23">
        <f>E200+P200</f>
        <v>2161.75</v>
      </c>
      <c r="S200" s="25">
        <f>R200*6</f>
        <v>12970.5</v>
      </c>
    </row>
    <row r="201" spans="1:20" s="27" customFormat="1" ht="26.4" customHeight="1" thickBot="1" x14ac:dyDescent="0.3">
      <c r="A201" s="64"/>
      <c r="B201" s="47" t="s">
        <v>59</v>
      </c>
      <c r="C201" s="34">
        <f>SUM(C198:C200)</f>
        <v>1.5</v>
      </c>
      <c r="D201" s="34"/>
      <c r="E201" s="35">
        <f>SUM(E198:E200)</f>
        <v>8206.25</v>
      </c>
      <c r="F201" s="34">
        <f>SUM(F198:F200)</f>
        <v>0</v>
      </c>
      <c r="G201" s="35">
        <f t="shared" si="80"/>
        <v>8206.25</v>
      </c>
      <c r="H201" s="35"/>
      <c r="I201" s="35">
        <f>SUM(I199:I200)</f>
        <v>102.375</v>
      </c>
      <c r="J201" s="35"/>
      <c r="K201" s="35">
        <f>SUM(K198:K200)</f>
        <v>1894.5</v>
      </c>
      <c r="L201" s="35">
        <f>SUM(L198:L200)</f>
        <v>5290.5</v>
      </c>
      <c r="M201" s="35"/>
      <c r="N201" s="35"/>
      <c r="O201" s="35"/>
      <c r="P201" s="35">
        <f>P199+P200</f>
        <v>2432.25</v>
      </c>
      <c r="Q201" s="35"/>
      <c r="R201" s="35">
        <f>SUM(R198:R200)</f>
        <v>17925.875</v>
      </c>
      <c r="S201" s="36">
        <f>SUM(S198:S200)</f>
        <v>202140</v>
      </c>
    </row>
    <row r="202" spans="1:20" ht="22.2" customHeight="1" x14ac:dyDescent="0.25">
      <c r="A202" s="15"/>
      <c r="B202" s="55" t="s">
        <v>276</v>
      </c>
      <c r="C202" s="85"/>
      <c r="D202" s="85"/>
      <c r="E202" s="94"/>
      <c r="F202" s="85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110"/>
    </row>
    <row r="203" spans="1:20" x14ac:dyDescent="0.25">
      <c r="A203" s="20" t="s">
        <v>277</v>
      </c>
      <c r="B203" s="21" t="s">
        <v>220</v>
      </c>
      <c r="C203" s="22">
        <v>1</v>
      </c>
      <c r="D203" s="22">
        <v>10</v>
      </c>
      <c r="E203" s="23">
        <f>6315*C203</f>
        <v>6315</v>
      </c>
      <c r="F203" s="22"/>
      <c r="G203" s="23">
        <f t="shared" ref="G203:G206" si="81">E203+F203</f>
        <v>6315</v>
      </c>
      <c r="H203" s="23"/>
      <c r="I203" s="23"/>
      <c r="J203" s="23"/>
      <c r="K203" s="23">
        <f>G203*0.3</f>
        <v>1894.5</v>
      </c>
      <c r="L203" s="23">
        <f>13500-G203-K203</f>
        <v>5290.5</v>
      </c>
      <c r="M203" s="23"/>
      <c r="N203" s="23"/>
      <c r="O203" s="23"/>
      <c r="P203" s="23"/>
      <c r="Q203" s="23"/>
      <c r="R203" s="23">
        <f>G203+K203+L203</f>
        <v>13500</v>
      </c>
      <c r="S203" s="25">
        <f>R203*12</f>
        <v>162000</v>
      </c>
    </row>
    <row r="204" spans="1:20" x14ac:dyDescent="0.25">
      <c r="A204" s="20" t="s">
        <v>278</v>
      </c>
      <c r="B204" s="21" t="s">
        <v>134</v>
      </c>
      <c r="C204" s="22">
        <v>0.25</v>
      </c>
      <c r="D204" s="22">
        <v>3</v>
      </c>
      <c r="E204" s="23">
        <f>4095*C204</f>
        <v>1023.75</v>
      </c>
      <c r="F204" s="22"/>
      <c r="G204" s="23">
        <f t="shared" si="81"/>
        <v>1023.75</v>
      </c>
      <c r="H204" s="23"/>
      <c r="I204" s="23">
        <f>G204*0.1</f>
        <v>102.375</v>
      </c>
      <c r="J204" s="23"/>
      <c r="K204" s="23"/>
      <c r="L204" s="23"/>
      <c r="M204" s="23"/>
      <c r="N204" s="23"/>
      <c r="O204" s="23"/>
      <c r="P204" s="23">
        <f>8647*0.25-G204</f>
        <v>1138</v>
      </c>
      <c r="Q204" s="23"/>
      <c r="R204" s="23">
        <f>E204+I204+P204</f>
        <v>2264.125</v>
      </c>
      <c r="S204" s="25">
        <f>R204*12</f>
        <v>27169.5</v>
      </c>
    </row>
    <row r="205" spans="1:20" s="38" customFormat="1" x14ac:dyDescent="0.25">
      <c r="A205" s="20" t="s">
        <v>279</v>
      </c>
      <c r="B205" s="21" t="s">
        <v>267</v>
      </c>
      <c r="C205" s="22">
        <v>0.25</v>
      </c>
      <c r="D205" s="22">
        <v>1</v>
      </c>
      <c r="E205" s="23">
        <f>3470*C205</f>
        <v>867.5</v>
      </c>
      <c r="F205" s="22"/>
      <c r="G205" s="23">
        <f t="shared" si="81"/>
        <v>867.5</v>
      </c>
      <c r="H205" s="23"/>
      <c r="I205" s="23"/>
      <c r="J205" s="23"/>
      <c r="K205" s="23"/>
      <c r="L205" s="23"/>
      <c r="M205" s="23"/>
      <c r="N205" s="23"/>
      <c r="O205" s="23"/>
      <c r="P205" s="23">
        <f>8647*0.25-G205</f>
        <v>1294.25</v>
      </c>
      <c r="Q205" s="23"/>
      <c r="R205" s="23">
        <f>E205+P205</f>
        <v>2161.75</v>
      </c>
      <c r="S205" s="25">
        <f>R205*6</f>
        <v>12970.5</v>
      </c>
    </row>
    <row r="206" spans="1:20" s="27" customFormat="1" ht="28.2" customHeight="1" thickBot="1" x14ac:dyDescent="0.3">
      <c r="A206" s="64"/>
      <c r="B206" s="47" t="s">
        <v>59</v>
      </c>
      <c r="C206" s="34">
        <f>SUM(C203:C205)</f>
        <v>1.5</v>
      </c>
      <c r="D206" s="34"/>
      <c r="E206" s="35">
        <f>SUM(E203:E205)</f>
        <v>8206.25</v>
      </c>
      <c r="F206" s="34">
        <f>SUM(F203:F205)</f>
        <v>0</v>
      </c>
      <c r="G206" s="35">
        <f t="shared" si="81"/>
        <v>8206.25</v>
      </c>
      <c r="H206" s="35"/>
      <c r="I206" s="35">
        <f>SUM(I204:I205)</f>
        <v>102.375</v>
      </c>
      <c r="J206" s="35"/>
      <c r="K206" s="35">
        <f>K203</f>
        <v>1894.5</v>
      </c>
      <c r="L206" s="35">
        <f>SUM(L203:L205)</f>
        <v>5290.5</v>
      </c>
      <c r="M206" s="35"/>
      <c r="N206" s="35"/>
      <c r="O206" s="35"/>
      <c r="P206" s="35">
        <f>P204+P205</f>
        <v>2432.25</v>
      </c>
      <c r="Q206" s="35"/>
      <c r="R206" s="35">
        <f>SUM(R203:R205)</f>
        <v>17925.875</v>
      </c>
      <c r="S206" s="36">
        <f>SUM(S203:S205)</f>
        <v>202140</v>
      </c>
    </row>
    <row r="207" spans="1:20" ht="24" customHeight="1" x14ac:dyDescent="0.25">
      <c r="A207" s="15"/>
      <c r="B207" s="55" t="s">
        <v>280</v>
      </c>
      <c r="C207" s="85"/>
      <c r="D207" s="85"/>
      <c r="E207" s="94"/>
      <c r="F207" s="85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110"/>
    </row>
    <row r="208" spans="1:20" x14ac:dyDescent="0.25">
      <c r="A208" s="20" t="s">
        <v>281</v>
      </c>
      <c r="B208" s="21" t="s">
        <v>130</v>
      </c>
      <c r="C208" s="22">
        <v>0.5</v>
      </c>
      <c r="D208" s="22">
        <v>8</v>
      </c>
      <c r="E208" s="23">
        <f>5691*C208</f>
        <v>2845.5</v>
      </c>
      <c r="F208" s="22"/>
      <c r="G208" s="23">
        <f t="shared" ref="G208:G210" si="82">E208+F208</f>
        <v>2845.5</v>
      </c>
      <c r="H208" s="23"/>
      <c r="I208" s="23"/>
      <c r="J208" s="23"/>
      <c r="K208" s="23">
        <f>G208*0.3</f>
        <v>853.65</v>
      </c>
      <c r="L208" s="23">
        <f>R208-K208-G208</f>
        <v>3050.8500000000004</v>
      </c>
      <c r="M208" s="23"/>
      <c r="N208" s="23"/>
      <c r="O208" s="23"/>
      <c r="P208" s="23"/>
      <c r="Q208" s="23"/>
      <c r="R208" s="23">
        <v>6750</v>
      </c>
      <c r="S208" s="25">
        <f>R208*12</f>
        <v>81000</v>
      </c>
    </row>
    <row r="209" spans="1:20" s="38" customFormat="1" x14ac:dyDescent="0.25">
      <c r="A209" s="20" t="s">
        <v>282</v>
      </c>
      <c r="B209" s="21" t="s">
        <v>134</v>
      </c>
      <c r="C209" s="22">
        <v>0.5</v>
      </c>
      <c r="D209" s="22">
        <v>3</v>
      </c>
      <c r="E209" s="23">
        <f>4095*C209</f>
        <v>2047.5</v>
      </c>
      <c r="F209" s="22"/>
      <c r="G209" s="23">
        <f t="shared" si="82"/>
        <v>2047.5</v>
      </c>
      <c r="H209" s="23"/>
      <c r="I209" s="23">
        <f>G209*0.1</f>
        <v>204.75</v>
      </c>
      <c r="J209" s="23"/>
      <c r="K209" s="23"/>
      <c r="L209" s="23"/>
      <c r="M209" s="23"/>
      <c r="N209" s="23"/>
      <c r="O209" s="23"/>
      <c r="P209" s="23">
        <f>8647/2-G209</f>
        <v>2276</v>
      </c>
      <c r="Q209" s="23"/>
      <c r="R209" s="23">
        <f>SUM(G209:Q209)</f>
        <v>4528.25</v>
      </c>
      <c r="S209" s="25">
        <f>R209*12</f>
        <v>54339</v>
      </c>
    </row>
    <row r="210" spans="1:20" s="27" customFormat="1" ht="25.8" customHeight="1" thickBot="1" x14ac:dyDescent="0.3">
      <c r="A210" s="64"/>
      <c r="B210" s="47" t="s">
        <v>59</v>
      </c>
      <c r="C210" s="34">
        <f>SUM(C208:C209)</f>
        <v>1</v>
      </c>
      <c r="D210" s="34"/>
      <c r="E210" s="35">
        <f>SUM(E208:E209)</f>
        <v>4893</v>
      </c>
      <c r="F210" s="34">
        <f>SUM(F208:F209)</f>
        <v>0</v>
      </c>
      <c r="G210" s="35">
        <f t="shared" si="82"/>
        <v>4893</v>
      </c>
      <c r="H210" s="35"/>
      <c r="I210" s="35">
        <f>SUM(I209)</f>
        <v>204.75</v>
      </c>
      <c r="J210" s="35"/>
      <c r="K210" s="35">
        <f>SUM(K208:K209)</f>
        <v>853.65</v>
      </c>
      <c r="L210" s="35">
        <f>SUM(L208:L209)</f>
        <v>3050.8500000000004</v>
      </c>
      <c r="M210" s="35"/>
      <c r="N210" s="35"/>
      <c r="O210" s="35"/>
      <c r="P210" s="35">
        <f>SUM(P209)</f>
        <v>2276</v>
      </c>
      <c r="Q210" s="35"/>
      <c r="R210" s="35">
        <f>SUM(R208:R209)</f>
        <v>11278.25</v>
      </c>
      <c r="S210" s="36">
        <f>SUM(S208:S209)</f>
        <v>135339</v>
      </c>
    </row>
    <row r="211" spans="1:20" ht="22.2" customHeight="1" x14ac:dyDescent="0.25">
      <c r="A211" s="15"/>
      <c r="B211" s="55" t="s">
        <v>283</v>
      </c>
      <c r="C211" s="85"/>
      <c r="D211" s="85"/>
      <c r="E211" s="94"/>
      <c r="F211" s="85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110"/>
    </row>
    <row r="212" spans="1:20" s="13" customFormat="1" x14ac:dyDescent="0.25">
      <c r="A212" s="20" t="s">
        <v>284</v>
      </c>
      <c r="B212" s="66" t="s">
        <v>130</v>
      </c>
      <c r="C212" s="22">
        <v>0.5</v>
      </c>
      <c r="D212" s="22">
        <v>10</v>
      </c>
      <c r="E212" s="23">
        <f>6315*C212</f>
        <v>3157.5</v>
      </c>
      <c r="F212" s="22"/>
      <c r="G212" s="23">
        <f t="shared" ref="G212:G215" si="83">E212+F212</f>
        <v>3157.5</v>
      </c>
      <c r="H212" s="23"/>
      <c r="I212" s="23"/>
      <c r="J212" s="23"/>
      <c r="K212" s="23">
        <f>G212*0.3</f>
        <v>947.25</v>
      </c>
      <c r="L212" s="23">
        <f>13500/2-G212-K212</f>
        <v>2645.25</v>
      </c>
      <c r="M212" s="23"/>
      <c r="N212" s="23"/>
      <c r="O212" s="23"/>
      <c r="P212" s="23"/>
      <c r="Q212" s="23"/>
      <c r="R212" s="23">
        <f>G212+K212+L212</f>
        <v>6750</v>
      </c>
      <c r="S212" s="25">
        <f>R212*12</f>
        <v>81000</v>
      </c>
    </row>
    <row r="213" spans="1:20" x14ac:dyDescent="0.25">
      <c r="A213" s="20" t="s">
        <v>285</v>
      </c>
      <c r="B213" s="21" t="s">
        <v>134</v>
      </c>
      <c r="C213" s="22">
        <v>0.5</v>
      </c>
      <c r="D213" s="22">
        <v>3</v>
      </c>
      <c r="E213" s="23">
        <f>4095*C213</f>
        <v>2047.5</v>
      </c>
      <c r="F213" s="22"/>
      <c r="G213" s="23">
        <f t="shared" si="83"/>
        <v>2047.5</v>
      </c>
      <c r="H213" s="23"/>
      <c r="I213" s="23">
        <f>G213*0.1</f>
        <v>204.75</v>
      </c>
      <c r="J213" s="23"/>
      <c r="K213" s="23"/>
      <c r="L213" s="23"/>
      <c r="M213" s="23"/>
      <c r="N213" s="23"/>
      <c r="O213" s="23"/>
      <c r="P213" s="23">
        <f>8647/2-G213</f>
        <v>2276</v>
      </c>
      <c r="Q213" s="23"/>
      <c r="R213" s="23">
        <f>SUM(G213:Q213)</f>
        <v>4528.25</v>
      </c>
      <c r="S213" s="25">
        <f>R213*12</f>
        <v>54339</v>
      </c>
    </row>
    <row r="214" spans="1:20" x14ac:dyDescent="0.25">
      <c r="A214" s="20" t="s">
        <v>286</v>
      </c>
      <c r="B214" s="21" t="s">
        <v>227</v>
      </c>
      <c r="C214" s="22">
        <v>1</v>
      </c>
      <c r="D214" s="22">
        <v>1</v>
      </c>
      <c r="E214" s="23">
        <f>3470*C214</f>
        <v>3470</v>
      </c>
      <c r="F214" s="22"/>
      <c r="G214" s="23">
        <f t="shared" si="83"/>
        <v>3470</v>
      </c>
      <c r="H214" s="23"/>
      <c r="I214" s="23"/>
      <c r="J214" s="23"/>
      <c r="K214" s="23"/>
      <c r="L214" s="23"/>
      <c r="M214" s="23"/>
      <c r="N214" s="23"/>
      <c r="O214" s="23"/>
      <c r="P214" s="23">
        <f>8647-G214</f>
        <v>5177</v>
      </c>
      <c r="Q214" s="23"/>
      <c r="R214" s="23">
        <f>E214+P214</f>
        <v>8647</v>
      </c>
      <c r="S214" s="25">
        <f>R214*6</f>
        <v>51882</v>
      </c>
    </row>
    <row r="215" spans="1:20" s="49" customFormat="1" ht="26.4" customHeight="1" thickBot="1" x14ac:dyDescent="0.3">
      <c r="A215" s="118"/>
      <c r="B215" s="47" t="s">
        <v>59</v>
      </c>
      <c r="C215" s="34">
        <f>SUM(C212:C214)</f>
        <v>2</v>
      </c>
      <c r="D215" s="34"/>
      <c r="E215" s="35">
        <f>SUM(E212:E214)</f>
        <v>8675</v>
      </c>
      <c r="F215" s="34">
        <f>SUM(F212:F214)</f>
        <v>0</v>
      </c>
      <c r="G215" s="35">
        <f t="shared" si="83"/>
        <v>8675</v>
      </c>
      <c r="H215" s="35"/>
      <c r="I215" s="35">
        <f>SUM(I213:I214)</f>
        <v>204.75</v>
      </c>
      <c r="J215" s="35"/>
      <c r="K215" s="35">
        <f>SUM(K212:K214)</f>
        <v>947.25</v>
      </c>
      <c r="L215" s="35">
        <f>SUM(L212:L214)</f>
        <v>2645.25</v>
      </c>
      <c r="M215" s="35"/>
      <c r="N215" s="35"/>
      <c r="O215" s="35"/>
      <c r="P215" s="35">
        <f>P213+P214</f>
        <v>7453</v>
      </c>
      <c r="Q215" s="35"/>
      <c r="R215" s="35">
        <f>SUM(R212:R214)</f>
        <v>19925.25</v>
      </c>
      <c r="S215" s="36">
        <f>SUM(S212:S214)</f>
        <v>187221</v>
      </c>
    </row>
    <row r="216" spans="1:20" ht="21" customHeight="1" x14ac:dyDescent="0.25">
      <c r="A216" s="15"/>
      <c r="B216" s="55" t="s">
        <v>287</v>
      </c>
      <c r="C216" s="85"/>
      <c r="D216" s="85"/>
      <c r="E216" s="94"/>
      <c r="F216" s="85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110"/>
    </row>
    <row r="217" spans="1:20" ht="25.2" customHeight="1" x14ac:dyDescent="0.25">
      <c r="A217" s="20" t="s">
        <v>288</v>
      </c>
      <c r="B217" s="21" t="s">
        <v>220</v>
      </c>
      <c r="C217" s="22">
        <v>1</v>
      </c>
      <c r="D217" s="22">
        <v>10</v>
      </c>
      <c r="E217" s="23">
        <f>6315*C217</f>
        <v>6315</v>
      </c>
      <c r="F217" s="22"/>
      <c r="G217" s="23">
        <f t="shared" ref="G217:G221" si="84">E217+F217</f>
        <v>6315</v>
      </c>
      <c r="H217" s="23"/>
      <c r="I217" s="23"/>
      <c r="J217" s="23"/>
      <c r="K217" s="23">
        <f>G217*0.3</f>
        <v>1894.5</v>
      </c>
      <c r="L217" s="23">
        <f>R217-K217-G217</f>
        <v>5290.5</v>
      </c>
      <c r="M217" s="23"/>
      <c r="N217" s="23"/>
      <c r="O217" s="23"/>
      <c r="P217" s="23"/>
      <c r="Q217" s="23"/>
      <c r="R217" s="23">
        <v>13500</v>
      </c>
      <c r="S217" s="25">
        <f>R217*12</f>
        <v>162000</v>
      </c>
    </row>
    <row r="218" spans="1:20" ht="24" customHeight="1" x14ac:dyDescent="0.25">
      <c r="A218" s="20" t="s">
        <v>289</v>
      </c>
      <c r="B218" s="21" t="s">
        <v>130</v>
      </c>
      <c r="C218" s="22">
        <v>1</v>
      </c>
      <c r="D218" s="22">
        <v>7</v>
      </c>
      <c r="E218" s="23">
        <f>5344*C218</f>
        <v>5344</v>
      </c>
      <c r="F218" s="22"/>
      <c r="G218" s="23">
        <f t="shared" si="84"/>
        <v>5344</v>
      </c>
      <c r="H218" s="23"/>
      <c r="I218" s="23">
        <f>G218*0.1</f>
        <v>534.4</v>
      </c>
      <c r="J218" s="23"/>
      <c r="K218" s="23">
        <f>G218*0.3</f>
        <v>1603.2</v>
      </c>
      <c r="L218" s="23">
        <f>13500-G218-I218-K218</f>
        <v>6018.4000000000005</v>
      </c>
      <c r="M218" s="23"/>
      <c r="N218" s="23"/>
      <c r="O218" s="23"/>
      <c r="P218" s="23"/>
      <c r="Q218" s="23"/>
      <c r="R218" s="23">
        <f>G218+I218+K218+L218</f>
        <v>13500</v>
      </c>
      <c r="S218" s="25">
        <f t="shared" ref="S218:S219" si="85">R218*12</f>
        <v>162000</v>
      </c>
    </row>
    <row r="219" spans="1:20" ht="25.2" customHeight="1" x14ac:dyDescent="0.25">
      <c r="A219" s="20" t="s">
        <v>290</v>
      </c>
      <c r="B219" s="21" t="s">
        <v>134</v>
      </c>
      <c r="C219" s="22">
        <v>1</v>
      </c>
      <c r="D219" s="22">
        <v>3</v>
      </c>
      <c r="E219" s="23">
        <f>4095*C219</f>
        <v>4095</v>
      </c>
      <c r="F219" s="22"/>
      <c r="G219" s="23">
        <f t="shared" si="84"/>
        <v>4095</v>
      </c>
      <c r="H219" s="23"/>
      <c r="I219" s="23">
        <f>G219*0.1</f>
        <v>409.5</v>
      </c>
      <c r="J219" s="23"/>
      <c r="K219" s="23"/>
      <c r="L219" s="23"/>
      <c r="M219" s="23"/>
      <c r="N219" s="23"/>
      <c r="O219" s="23"/>
      <c r="P219" s="23">
        <f>8647-G219</f>
        <v>4552</v>
      </c>
      <c r="Q219" s="23"/>
      <c r="R219" s="23">
        <f>SUM(G219:Q219)</f>
        <v>9056.5</v>
      </c>
      <c r="S219" s="25">
        <f t="shared" si="85"/>
        <v>108678</v>
      </c>
    </row>
    <row r="220" spans="1:20" ht="31.8" customHeight="1" x14ac:dyDescent="0.25">
      <c r="A220" s="20" t="s">
        <v>291</v>
      </c>
      <c r="B220" s="21" t="s">
        <v>227</v>
      </c>
      <c r="C220" s="22">
        <v>1.5</v>
      </c>
      <c r="D220" s="22">
        <v>1</v>
      </c>
      <c r="E220" s="23">
        <f>3470*C220</f>
        <v>5205</v>
      </c>
      <c r="F220" s="22"/>
      <c r="G220" s="23">
        <f t="shared" si="84"/>
        <v>5205</v>
      </c>
      <c r="H220" s="23"/>
      <c r="I220" s="23"/>
      <c r="J220" s="23"/>
      <c r="K220" s="23"/>
      <c r="L220" s="23"/>
      <c r="M220" s="23"/>
      <c r="N220" s="23"/>
      <c r="O220" s="23"/>
      <c r="P220" s="23">
        <f>8647*C220-G220</f>
        <v>7765.5</v>
      </c>
      <c r="Q220" s="23"/>
      <c r="R220" s="23">
        <f>E220+P220</f>
        <v>12970.5</v>
      </c>
      <c r="S220" s="25">
        <f>R220*6</f>
        <v>77823</v>
      </c>
    </row>
    <row r="221" spans="1:20" s="27" customFormat="1" ht="26.4" customHeight="1" thickBot="1" x14ac:dyDescent="0.3">
      <c r="A221" s="64"/>
      <c r="B221" s="47" t="s">
        <v>59</v>
      </c>
      <c r="C221" s="34">
        <f>SUM(C217:C220)</f>
        <v>4.5</v>
      </c>
      <c r="D221" s="34"/>
      <c r="E221" s="35">
        <f>SUM(E217:E220)</f>
        <v>20959</v>
      </c>
      <c r="F221" s="34">
        <f>SUM(F217:F220)</f>
        <v>0</v>
      </c>
      <c r="G221" s="35">
        <f t="shared" si="84"/>
        <v>20959</v>
      </c>
      <c r="H221" s="35"/>
      <c r="I221" s="35">
        <f>SUM(I218:I220)</f>
        <v>943.9</v>
      </c>
      <c r="J221" s="35"/>
      <c r="K221" s="35">
        <f>K217+K218</f>
        <v>3497.7</v>
      </c>
      <c r="L221" s="35">
        <f>L217+L218</f>
        <v>11308.900000000001</v>
      </c>
      <c r="M221" s="35"/>
      <c r="N221" s="35"/>
      <c r="O221" s="35"/>
      <c r="P221" s="35">
        <f>SUM(P217:P220)</f>
        <v>12317.5</v>
      </c>
      <c r="Q221" s="35"/>
      <c r="R221" s="35">
        <f>SUM(R217:R220)</f>
        <v>49027</v>
      </c>
      <c r="S221" s="36">
        <f>SUM(S217:S220)</f>
        <v>510501</v>
      </c>
    </row>
    <row r="222" spans="1:20" s="13" customFormat="1" ht="22.2" customHeight="1" x14ac:dyDescent="0.2">
      <c r="A222" s="18"/>
      <c r="B222" s="55" t="s">
        <v>292</v>
      </c>
      <c r="C222" s="85"/>
      <c r="D222" s="85"/>
      <c r="E222" s="94"/>
      <c r="F222" s="85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110"/>
    </row>
    <row r="223" spans="1:20" ht="24" customHeight="1" x14ac:dyDescent="0.25">
      <c r="A223" s="20" t="s">
        <v>293</v>
      </c>
      <c r="B223" s="21" t="s">
        <v>220</v>
      </c>
      <c r="C223" s="22">
        <v>1</v>
      </c>
      <c r="D223" s="22">
        <v>10</v>
      </c>
      <c r="E223" s="23">
        <f>6315*C223</f>
        <v>6315</v>
      </c>
      <c r="F223" s="22"/>
      <c r="G223" s="23">
        <f t="shared" ref="G223:G225" si="86">E223+F223</f>
        <v>6315</v>
      </c>
      <c r="H223" s="23"/>
      <c r="I223" s="23"/>
      <c r="J223" s="23"/>
      <c r="K223" s="23">
        <f>G223*0.3</f>
        <v>1894.5</v>
      </c>
      <c r="L223" s="23">
        <f>R223-K223-G223</f>
        <v>5290.5</v>
      </c>
      <c r="M223" s="23"/>
      <c r="N223" s="23"/>
      <c r="O223" s="23"/>
      <c r="P223" s="23"/>
      <c r="Q223" s="23"/>
      <c r="R223" s="23">
        <v>13500</v>
      </c>
      <c r="S223" s="25">
        <f>R223*12</f>
        <v>162000</v>
      </c>
    </row>
    <row r="224" spans="1:20" s="38" customFormat="1" ht="25.8" customHeight="1" x14ac:dyDescent="0.25">
      <c r="A224" s="20" t="s">
        <v>294</v>
      </c>
      <c r="B224" s="21" t="s">
        <v>134</v>
      </c>
      <c r="C224" s="22">
        <v>0.5</v>
      </c>
      <c r="D224" s="22">
        <v>3</v>
      </c>
      <c r="E224" s="23">
        <f>4095*C224</f>
        <v>2047.5</v>
      </c>
      <c r="F224" s="22"/>
      <c r="G224" s="23">
        <f t="shared" si="86"/>
        <v>2047.5</v>
      </c>
      <c r="H224" s="23"/>
      <c r="I224" s="23">
        <f>G224*0.1</f>
        <v>204.75</v>
      </c>
      <c r="J224" s="23"/>
      <c r="K224" s="23"/>
      <c r="L224" s="23"/>
      <c r="M224" s="23"/>
      <c r="N224" s="23"/>
      <c r="O224" s="23"/>
      <c r="P224" s="23">
        <f>8647/2-G224</f>
        <v>2276</v>
      </c>
      <c r="Q224" s="23"/>
      <c r="R224" s="23">
        <f>SUM(G224:Q224)</f>
        <v>4528.25</v>
      </c>
      <c r="S224" s="25">
        <f>R224*12</f>
        <v>54339</v>
      </c>
      <c r="T224" s="46"/>
    </row>
    <row r="225" spans="1:19" s="27" customFormat="1" ht="27.6" customHeight="1" thickBot="1" x14ac:dyDescent="0.3">
      <c r="A225" s="64"/>
      <c r="B225" s="47" t="s">
        <v>59</v>
      </c>
      <c r="C225" s="34">
        <f>SUM(C223:C224)</f>
        <v>1.5</v>
      </c>
      <c r="D225" s="34"/>
      <c r="E225" s="35">
        <f>SUM(E223:E224)</f>
        <v>8362.5</v>
      </c>
      <c r="F225" s="34">
        <f>SUM(F223:F224)</f>
        <v>0</v>
      </c>
      <c r="G225" s="35">
        <f t="shared" si="86"/>
        <v>8362.5</v>
      </c>
      <c r="H225" s="35"/>
      <c r="I225" s="35">
        <f>SUM(I224)</f>
        <v>204.75</v>
      </c>
      <c r="J225" s="35"/>
      <c r="K225" s="35">
        <f>SUM(K223:K224)</f>
        <v>1894.5</v>
      </c>
      <c r="L225" s="35">
        <f>SUM(L223:L224)</f>
        <v>5290.5</v>
      </c>
      <c r="M225" s="35"/>
      <c r="N225" s="35"/>
      <c r="O225" s="35"/>
      <c r="P225" s="35">
        <f>SUM(P224)</f>
        <v>2276</v>
      </c>
      <c r="Q225" s="35"/>
      <c r="R225" s="35">
        <f>SUM(R223:R224)</f>
        <v>18028.25</v>
      </c>
      <c r="S225" s="36">
        <f>SUM(S223:S224)</f>
        <v>216339</v>
      </c>
    </row>
    <row r="226" spans="1:19" ht="22.2" customHeight="1" x14ac:dyDescent="0.25">
      <c r="A226" s="15"/>
      <c r="B226" s="55" t="s">
        <v>295</v>
      </c>
      <c r="C226" s="85"/>
      <c r="D226" s="85"/>
      <c r="E226" s="94"/>
      <c r="F226" s="85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110"/>
    </row>
    <row r="227" spans="1:19" ht="31.2" customHeight="1" x14ac:dyDescent="0.25">
      <c r="A227" s="20" t="s">
        <v>296</v>
      </c>
      <c r="B227" s="21" t="s">
        <v>130</v>
      </c>
      <c r="C227" s="22">
        <v>0.5</v>
      </c>
      <c r="D227" s="22">
        <v>10</v>
      </c>
      <c r="E227" s="23">
        <f>6315*C227</f>
        <v>3157.5</v>
      </c>
      <c r="F227" s="22"/>
      <c r="G227" s="23">
        <f t="shared" ref="G227:G228" si="87">E227+F227</f>
        <v>3157.5</v>
      </c>
      <c r="H227" s="23"/>
      <c r="I227" s="23"/>
      <c r="J227" s="23"/>
      <c r="K227" s="23">
        <f>G227*0.3</f>
        <v>947.25</v>
      </c>
      <c r="L227" s="23">
        <f>13500/2-G227-K227</f>
        <v>2645.25</v>
      </c>
      <c r="M227" s="23"/>
      <c r="N227" s="23"/>
      <c r="O227" s="23"/>
      <c r="P227" s="23"/>
      <c r="Q227" s="23"/>
      <c r="R227" s="23">
        <f>G227+K227+L227</f>
        <v>6750</v>
      </c>
      <c r="S227" s="25">
        <f>R227*12</f>
        <v>81000</v>
      </c>
    </row>
    <row r="228" spans="1:19" s="27" customFormat="1" ht="25.8" customHeight="1" thickBot="1" x14ac:dyDescent="0.3">
      <c r="A228" s="64"/>
      <c r="B228" s="47" t="s">
        <v>59</v>
      </c>
      <c r="C228" s="34">
        <f>SUM(C227:C227)</f>
        <v>0.5</v>
      </c>
      <c r="D228" s="34"/>
      <c r="E228" s="35">
        <f>SUM(E227:E227)</f>
        <v>3157.5</v>
      </c>
      <c r="F228" s="34">
        <f>SUM(F227:F227)</f>
        <v>0</v>
      </c>
      <c r="G228" s="35">
        <f t="shared" si="87"/>
        <v>3157.5</v>
      </c>
      <c r="H228" s="35"/>
      <c r="I228" s="35">
        <v>0</v>
      </c>
      <c r="J228" s="35"/>
      <c r="K228" s="35">
        <f>SUM(K227:K227)</f>
        <v>947.25</v>
      </c>
      <c r="L228" s="35">
        <f>SUM(L227:L227)</f>
        <v>2645.25</v>
      </c>
      <c r="M228" s="35"/>
      <c r="N228" s="35"/>
      <c r="O228" s="35"/>
      <c r="P228" s="35">
        <v>0</v>
      </c>
      <c r="Q228" s="35"/>
      <c r="R228" s="35">
        <f>SUM(R227:R227)</f>
        <v>6750</v>
      </c>
      <c r="S228" s="36">
        <f>SUM(S227:S227)</f>
        <v>81000</v>
      </c>
    </row>
    <row r="229" spans="1:19" ht="18.600000000000001" customHeight="1" x14ac:dyDescent="0.25">
      <c r="A229" s="15"/>
      <c r="B229" s="55" t="s">
        <v>298</v>
      </c>
      <c r="C229" s="85"/>
      <c r="D229" s="85"/>
      <c r="E229" s="94"/>
      <c r="F229" s="85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110"/>
    </row>
    <row r="230" spans="1:19" x14ac:dyDescent="0.25">
      <c r="A230" s="20" t="s">
        <v>299</v>
      </c>
      <c r="B230" s="21" t="s">
        <v>130</v>
      </c>
      <c r="C230" s="22">
        <v>0.5</v>
      </c>
      <c r="D230" s="22">
        <v>10</v>
      </c>
      <c r="E230" s="23">
        <f>6315*C230</f>
        <v>3157.5</v>
      </c>
      <c r="F230" s="22"/>
      <c r="G230" s="23">
        <f t="shared" ref="G230:G232" si="88">E230+F230</f>
        <v>3157.5</v>
      </c>
      <c r="H230" s="23"/>
      <c r="I230" s="23"/>
      <c r="J230" s="23"/>
      <c r="K230" s="23">
        <f>G230*0.3</f>
        <v>947.25</v>
      </c>
      <c r="L230" s="23">
        <f>13500/2-G230-K230</f>
        <v>2645.25</v>
      </c>
      <c r="M230" s="23"/>
      <c r="N230" s="23"/>
      <c r="O230" s="23"/>
      <c r="P230" s="23"/>
      <c r="Q230" s="23"/>
      <c r="R230" s="23">
        <f>G230+K230+L230</f>
        <v>6750</v>
      </c>
      <c r="S230" s="25">
        <f>R230*12</f>
        <v>81000</v>
      </c>
    </row>
    <row r="231" spans="1:19" s="38" customFormat="1" x14ac:dyDescent="0.25">
      <c r="A231" s="20" t="s">
        <v>300</v>
      </c>
      <c r="B231" s="21" t="s">
        <v>134</v>
      </c>
      <c r="C231" s="22">
        <v>0.25</v>
      </c>
      <c r="D231" s="22">
        <v>3</v>
      </c>
      <c r="E231" s="23">
        <f>4095*C231</f>
        <v>1023.75</v>
      </c>
      <c r="F231" s="22"/>
      <c r="G231" s="23">
        <f t="shared" si="88"/>
        <v>1023.75</v>
      </c>
      <c r="H231" s="23"/>
      <c r="I231" s="23">
        <f>G231*0.1</f>
        <v>102.375</v>
      </c>
      <c r="J231" s="23"/>
      <c r="K231" s="23"/>
      <c r="L231" s="23"/>
      <c r="M231" s="23"/>
      <c r="N231" s="23"/>
      <c r="O231" s="23"/>
      <c r="P231" s="23">
        <f>8647*0.25-G231</f>
        <v>1138</v>
      </c>
      <c r="Q231" s="23"/>
      <c r="R231" s="23">
        <f>E231+I231+P231</f>
        <v>2264.125</v>
      </c>
      <c r="S231" s="25">
        <f>R231*12</f>
        <v>27169.5</v>
      </c>
    </row>
    <row r="232" spans="1:19" s="27" customFormat="1" ht="27" customHeight="1" thickBot="1" x14ac:dyDescent="0.3">
      <c r="A232" s="64"/>
      <c r="B232" s="47" t="s">
        <v>59</v>
      </c>
      <c r="C232" s="34">
        <f>SUM(C230:C231)</f>
        <v>0.75</v>
      </c>
      <c r="D232" s="34"/>
      <c r="E232" s="35">
        <f>SUM(E230:E231)</f>
        <v>4181.25</v>
      </c>
      <c r="F232" s="34">
        <f>SUM(F230:F231)</f>
        <v>0</v>
      </c>
      <c r="G232" s="35">
        <f t="shared" si="88"/>
        <v>4181.25</v>
      </c>
      <c r="H232" s="35"/>
      <c r="I232" s="35">
        <f>SUM(I231)</f>
        <v>102.375</v>
      </c>
      <c r="J232" s="35"/>
      <c r="K232" s="35">
        <f>SUM(K230:K231)</f>
        <v>947.25</v>
      </c>
      <c r="L232" s="35">
        <f>SUM(L230:L231)</f>
        <v>2645.25</v>
      </c>
      <c r="M232" s="35"/>
      <c r="N232" s="35"/>
      <c r="O232" s="35"/>
      <c r="P232" s="35">
        <f>SUM(P231)</f>
        <v>1138</v>
      </c>
      <c r="Q232" s="35"/>
      <c r="R232" s="35">
        <f>SUM(R230:R231)</f>
        <v>9014.125</v>
      </c>
      <c r="S232" s="36">
        <f>SUM(S230:S231)</f>
        <v>108169.5</v>
      </c>
    </row>
    <row r="233" spans="1:19" s="49" customFormat="1" ht="23.25" customHeight="1" thickBot="1" x14ac:dyDescent="0.3">
      <c r="A233" s="67"/>
      <c r="B233" s="119" t="s">
        <v>301</v>
      </c>
      <c r="C233" s="120">
        <f>C27+C38+C46+C41+C54+C60+C81+C127+C111+C117+C140+C151+C157+C164+C171+C180+C185+C225+C221+C215+C201+C206+C228+C232+C191+C210+C196+C144+C121</f>
        <v>190.5</v>
      </c>
      <c r="D233" s="121"/>
      <c r="E233" s="120">
        <f t="shared" ref="E233:S233" si="89">E27+E38+E46+E41+E54+E60+E81+E127+E111+E117+E140+E151+E157+E164+E171+E180+E185+E221+E225+E215+E201+E206+E228+E191+E210+E196+E144+E232+E121</f>
        <v>1178235.25</v>
      </c>
      <c r="F233" s="120">
        <f t="shared" si="89"/>
        <v>31740.262500000001</v>
      </c>
      <c r="G233" s="120">
        <f t="shared" si="89"/>
        <v>1209975.5125</v>
      </c>
      <c r="H233" s="120">
        <f t="shared" si="89"/>
        <v>25878</v>
      </c>
      <c r="I233" s="120">
        <f t="shared" si="89"/>
        <v>29433.47625</v>
      </c>
      <c r="J233" s="120">
        <f t="shared" si="89"/>
        <v>534.096</v>
      </c>
      <c r="K233" s="120">
        <f t="shared" si="89"/>
        <v>240386.83875</v>
      </c>
      <c r="L233" s="120">
        <f t="shared" si="89"/>
        <v>791169.86500000011</v>
      </c>
      <c r="M233" s="120">
        <f t="shared" si="89"/>
        <v>3750</v>
      </c>
      <c r="N233" s="120">
        <f t="shared" si="89"/>
        <v>24555.780000000006</v>
      </c>
      <c r="O233" s="120">
        <f t="shared" si="89"/>
        <v>150863</v>
      </c>
      <c r="P233" s="120">
        <f t="shared" si="89"/>
        <v>262809.5</v>
      </c>
      <c r="Q233" s="120">
        <f t="shared" si="89"/>
        <v>0</v>
      </c>
      <c r="R233" s="120">
        <f>R27+R38+R46+R41+R54+R60+R81+R127+R111+R117+R140+R151+R157+R164+R171+R180+R185+R221+R225+R215+R201+R206+R228+R191+R210+R196+R144+R232+R121</f>
        <v>2739121.7684999998</v>
      </c>
      <c r="S233" s="120">
        <f t="shared" si="89"/>
        <v>31902252.822000001</v>
      </c>
    </row>
    <row r="234" spans="1:19" ht="12.6" thickBot="1" x14ac:dyDescent="0.3">
      <c r="F234" s="13"/>
      <c r="I234" s="68"/>
    </row>
    <row r="235" spans="1:19" ht="15.6" customHeight="1" x14ac:dyDescent="0.25">
      <c r="B235" s="69" t="s">
        <v>302</v>
      </c>
      <c r="C235" s="70">
        <f>C48+C49+C56+C57+C58+C63+C64+C65+C66+C67+C68+C123+C124+C83+C84+C85+C86+C87+C88+C89+C100+C94+C90+C95+C91+C74+C98+C96+C93+C92+C101+C99+C102+C113+C114+C133+C129+C134+C135+C146+C153+C159+C166+C173+C174+C175+C182+C141+C69+C70+C71+C72+C73+C119+C120+C97</f>
        <v>49.75</v>
      </c>
      <c r="D235" s="70"/>
      <c r="E235" s="70">
        <f>E48+E49+E56+E57+E58+E63+E64+E65+E66+E67+E68+E123+E124+E83+E84+E85+E86+E87+E88+E89+E100+E94+E90+E95+E91+E74+E98+E96+E93+E92+E101+E99+E102+E113+E114+E133+E129+E134+E135+E146+E153+E159+E166+E173+E174+E175+E182+E141+E69+E70+E71+E72+E73+E119+E120+E97</f>
        <v>377474.5</v>
      </c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>
        <f t="shared" ref="Q235" si="90">Q48+Q49+Q56+Q57+Q58+Q63+Q64+Q65+Q66+Q67+Q68+Q123+Q124+Q83+Q84+Q85+Q86+Q87+Q88+Q89+Q100+Q94+Q90+Q95+Q91+Q74+Q98+Q96+Q93+Q92+Q101+Q99+Q102+Q113+Q114+Q133+Q129+Q134+Q135+Q146+Q153+Q159+Q166+Q173+Q174+Q175+Q182+Q141+Q69+Q70+Q71+Q72+Q73+Q119+Q120</f>
        <v>0</v>
      </c>
      <c r="R235" s="70">
        <f>R48+R49+R56+R57+R58+R63+R64+R65+R66+R67+R68+R123+R124+R83+R84+R85+R86+R87+R88+R89+R100+R94+R90+R95+R91+R74+R98+R96+R93+R92+R101+R99+R102+R113+R114+R133+R129+R134+R135+R146+R153+R159+R166+R173+R174+R175+R182+R141+R69+R70+R71+R72+R73+R119+R120+R97</f>
        <v>980000</v>
      </c>
      <c r="S235" s="70">
        <f>S48+S49+S56+S57+S58+S63+S64+S65+S66+S67+S68+S123+S124+S83+S84+S85+S86+S87+S88+S89+S100+S94+S90+S95+S91+S74+S98+S96+S93+S92+S101+S99+S102+S113+S114+S133+S129+S134+S135+S146+S153+S159+S166+S173+S174+S175+S182+S141+S69+S70+S71+S72+S73+S119+S120+S97</f>
        <v>11760000</v>
      </c>
    </row>
    <row r="236" spans="1:19" ht="15.6" customHeight="1" x14ac:dyDescent="0.25">
      <c r="B236" s="71" t="s">
        <v>303</v>
      </c>
      <c r="C236" s="72">
        <f>C17+C50+C53+C75+C76+C77+C125+C103+C106+C107+C104+C105+C108+C115+C130+C136+C137+C138+C147+C154+C155+C160+C161+C167+C168+C176+C177+C183+C218+C217+C223+C212+C198+C203+C227+C188+C208+C193+C142+C230</f>
        <v>69</v>
      </c>
      <c r="D236" s="72"/>
      <c r="E236" s="123">
        <f>E17+E50+E53+E75+E76+E77+E125+E103+E106+E107+E104+E105+E108+E115+E130+E136+E137+E138+E147+E154+E155+E160+E161+E167+E168+E176+E177+E183+E218+E217+E223+E212+E198+E203+E227+E188+E208+E193+E142+E230</f>
        <v>420034.5</v>
      </c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>
        <f>Q17+Q50+Q53+Q75+Q76+Q77+Q125+Q103+Q106+Q107+Q104+Q105+Q108+Q115+Q130+Q136+Q137+Q138+Q147+Q154+Q155+Q160+Q161+Q167+Q168+Q176+Q177+Q183+Q218+Q217+Q223+Q212+Q198+Q203+Q227+Q188+Q208+Q193+Q142+Q230</f>
        <v>0</v>
      </c>
      <c r="R236" s="72">
        <f>R17+R50+R53+R75+R76+R77+R125+R103+R106+R107+R104+R105+R108+R115+R130+R136+R137+R138+R147+R154+R155+R160+R161+R167+R168+R176+R177+R183+R218+R217+R223+R212+R198+R203+R227+R188+R208+R193+R142+R230</f>
        <v>929177.67999999993</v>
      </c>
      <c r="S236" s="89">
        <f>S17+S50+S53+S75+S76+S77+S125+S103+S106+S107+S104+S105+S108+S115+S130+S136+S137+S138+S147+S154+S155+S160+S161+S167+S168+S176+S177+S183+S218+S217+S223+S212+S198+S203+S227+S188+S208+S193+S142+S230</f>
        <v>11150132.16</v>
      </c>
    </row>
    <row r="237" spans="1:19" ht="15.6" customHeight="1" x14ac:dyDescent="0.25">
      <c r="B237" s="71" t="s">
        <v>304</v>
      </c>
      <c r="C237" s="72">
        <f>C78+C79+C126+C110+C116+C139+C148+C156+C162+C169+C178+C184+C219+C224+C213+C199+C204+C189+C209+C194+C231</f>
        <v>26.75</v>
      </c>
      <c r="D237" s="72"/>
      <c r="E237" s="123">
        <f>E78+E79+E126+E110+E116+E139+E148+E156+E162+E169+E178+E184+E219+E224+E213+E199+E204+E189+E209+E194+E231</f>
        <v>112193.25</v>
      </c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 t="e">
        <f>Q78+Q79+Q126+Q110+Q116+Q139+Q148+Q156+Q162+Q169+Q178+Q184+Q219+Q224+Q213+Q199+Q204+#REF!+Q189+Q209+Q194+Q231</f>
        <v>#REF!</v>
      </c>
      <c r="R237" s="123">
        <f>R78+R79+R126+R110+R116+R139+R148+R156+R162+R169+R178+R184+R219+R224+R213+R199+R204+R189+R209+R194+R231</f>
        <v>248650.94249999998</v>
      </c>
      <c r="S237" s="124">
        <f>S78+S79+S126+S110+S116+S139+S148+S156+S162+S169+S178+S184+S219+S224+S213+S199+S204+S189+S209+S194+S231</f>
        <v>2983811.31</v>
      </c>
    </row>
    <row r="238" spans="1:19" ht="15.6" customHeight="1" x14ac:dyDescent="0.25">
      <c r="B238" s="71" t="s">
        <v>305</v>
      </c>
      <c r="C238" s="72">
        <f>C14+C15+C16+C18+C19+C20+C21+C22+C23+C24+C25+C26+C29+C31+C32+C33+C35+C36+C37+C43+C44+C45+C40+C51+C52+C59+C80+C109+C149+C150+C163+C170+C179+C220+C214+C200+C205+C190+C195+C143+C34+C30</f>
        <v>45</v>
      </c>
      <c r="D238" s="72"/>
      <c r="E238" s="123">
        <f>E14+E15+E16+E18+E19+E20+E21+E22+E23+E24+E25+E26+E29+E31+E32+E33+E35+E36+E37+E43+E44+E45+E40+E51+E52+E59+E80+E109+E149+E150+E163+E170+E179+E220+E214+E200+E205+E190+E195+E143+E34+E30</f>
        <v>268533</v>
      </c>
      <c r="F238" s="72"/>
      <c r="G238" s="72"/>
      <c r="H238" s="72" t="s">
        <v>8</v>
      </c>
      <c r="I238" s="72"/>
      <c r="J238" s="72"/>
      <c r="K238" s="72"/>
      <c r="L238" s="72"/>
      <c r="M238" s="72"/>
      <c r="N238" s="72"/>
      <c r="O238" s="72"/>
      <c r="P238" s="72"/>
      <c r="Q238" s="72">
        <f>Q14+Q15+Q16+Q18+Q19+Q20+Q21+Q22+Q23+Q24+Q25+Q26+Q29+Q31+Q32+Q33+Q35+Q36+Q37+Q43+Q44+Q45+Q40+Q51+Q52+Q59+Q80+Q109+Q149+Q150+Q163+Q170+Q179+Q220+Q214+Q200+Q205+Q190+Q195+Q143+Q34</f>
        <v>0</v>
      </c>
      <c r="R238" s="123">
        <f>R14+R15+R16+R18+R19+R20+R21+R22+R23+R24+R25+R26+R29+R31+R32+R33+R35+R36+R37+R43+R44+R45+R40+R51+R52+R59+R80+R109+R149+R150+R163+R170+R179+R220+R214+R200+R205+R190+R195+R143+R34+R30</f>
        <v>581293.14600000007</v>
      </c>
      <c r="S238" s="123">
        <f>S14+S15+S16+S18+S19+S20+S21+S22+S23+S24+S25+S26+S29+S31+S32+S33+S35+S36+S37+S43+S44+S45+S40+S51+S52+S59+S80+S109+S149+S150+S163+S170+S179+S220+S214+S200+S205+S190+S195+S143+S34+S30</f>
        <v>6690166.7519999994</v>
      </c>
    </row>
    <row r="239" spans="1:19" ht="12.6" thickBot="1" x14ac:dyDescent="0.3">
      <c r="B239" s="73" t="s">
        <v>306</v>
      </c>
      <c r="C239" s="74">
        <f>SUBTOTAL(9,C235:C238)</f>
        <v>190.5</v>
      </c>
      <c r="D239" s="74"/>
      <c r="E239" s="75">
        <f>SUBTOTAL(9,E235:E238)</f>
        <v>1178235.25</v>
      </c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 t="e">
        <f t="shared" ref="Q239:S239" si="91">SUBTOTAL(9,Q235:Q238)</f>
        <v>#REF!</v>
      </c>
      <c r="R239" s="75">
        <f>R235+R236+R237+R238</f>
        <v>2739121.7685000002</v>
      </c>
      <c r="S239" s="76">
        <f t="shared" si="91"/>
        <v>32584110.221999999</v>
      </c>
    </row>
    <row r="240" spans="1:19" ht="19.95" customHeight="1" x14ac:dyDescent="0.25">
      <c r="R240" s="53"/>
    </row>
    <row r="241" spans="2:10" ht="19.2" customHeight="1" x14ac:dyDescent="0.3">
      <c r="B241" s="77" t="s">
        <v>307</v>
      </c>
      <c r="C241" s="78"/>
      <c r="D241" s="78"/>
      <c r="E241" s="79">
        <f>E239</f>
        <v>1178235.25</v>
      </c>
      <c r="G241" s="80"/>
      <c r="H241" s="81"/>
      <c r="I241" s="82"/>
    </row>
    <row r="242" spans="2:10" x14ac:dyDescent="0.25">
      <c r="B242" s="77" t="s">
        <v>346</v>
      </c>
      <c r="E242" s="52">
        <f>S233+E241</f>
        <v>33080488.072000001</v>
      </c>
    </row>
    <row r="244" spans="2:10" ht="15.6" x14ac:dyDescent="0.3">
      <c r="C244" s="83"/>
      <c r="D244" s="83"/>
      <c r="E244" s="83"/>
      <c r="F244" s="83"/>
      <c r="G244" s="83"/>
      <c r="H244" s="83"/>
      <c r="I244" s="83"/>
      <c r="J244" s="83"/>
    </row>
    <row r="245" spans="2:10" ht="15.6" x14ac:dyDescent="0.3">
      <c r="C245" s="83" t="s">
        <v>3</v>
      </c>
      <c r="D245" s="83"/>
      <c r="E245" s="83"/>
      <c r="F245" s="83"/>
      <c r="G245" s="83"/>
      <c r="H245" s="83" t="s">
        <v>349</v>
      </c>
      <c r="I245" s="83"/>
      <c r="J245" s="83"/>
    </row>
    <row r="246" spans="2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2:10" ht="15.6" x14ac:dyDescent="0.3">
      <c r="C247" s="83"/>
      <c r="D247" s="83"/>
      <c r="E247" s="83"/>
      <c r="F247" s="83"/>
      <c r="G247" s="83"/>
      <c r="H247" s="83"/>
      <c r="I247" s="83"/>
      <c r="J247" s="83"/>
    </row>
    <row r="248" spans="2:10" ht="15.6" x14ac:dyDescent="0.3">
      <c r="C248" s="143"/>
      <c r="D248" s="143"/>
      <c r="E248" s="143"/>
      <c r="F248" s="83"/>
      <c r="G248" s="83"/>
      <c r="H248" s="83"/>
      <c r="I248" s="83"/>
      <c r="J248" s="83"/>
    </row>
    <row r="249" spans="2:10" ht="15.6" x14ac:dyDescent="0.3">
      <c r="C249" s="83"/>
      <c r="D249" s="84"/>
      <c r="E249" s="84"/>
      <c r="F249" s="83"/>
      <c r="G249" s="83"/>
      <c r="H249" s="83"/>
      <c r="I249" s="83"/>
      <c r="J249" s="83"/>
    </row>
    <row r="250" spans="2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2:10" ht="15.6" x14ac:dyDescent="0.3">
      <c r="C251" s="83"/>
      <c r="D251" s="83"/>
      <c r="E251" s="83"/>
      <c r="F251" s="83"/>
      <c r="G251" s="83"/>
      <c r="H251" s="83"/>
      <c r="I251" s="83"/>
      <c r="J251" s="83"/>
    </row>
    <row r="252" spans="2:10" ht="15.6" x14ac:dyDescent="0.3">
      <c r="C252" s="83"/>
      <c r="D252" s="83"/>
      <c r="E252" s="83"/>
      <c r="F252" s="83"/>
      <c r="G252" s="83"/>
      <c r="H252" s="83"/>
      <c r="I252" s="83"/>
      <c r="J252" s="83"/>
    </row>
    <row r="253" spans="2:10" ht="15.6" x14ac:dyDescent="0.3">
      <c r="C253" s="83"/>
      <c r="D253" s="83"/>
      <c r="E253" s="83"/>
      <c r="F253" s="83"/>
      <c r="G253" s="83"/>
      <c r="H253" s="83"/>
      <c r="I253" s="83"/>
      <c r="J253" s="83"/>
    </row>
    <row r="254" spans="2:10" ht="15.6" x14ac:dyDescent="0.3">
      <c r="C254" s="143"/>
      <c r="D254" s="144"/>
      <c r="E254" s="144"/>
      <c r="F254" s="83"/>
      <c r="G254" s="83"/>
      <c r="H254" s="83"/>
      <c r="I254" s="83"/>
      <c r="J254" s="83"/>
    </row>
    <row r="255" spans="2:10" ht="15.6" x14ac:dyDescent="0.3">
      <c r="C255" s="83"/>
      <c r="D255" s="84"/>
      <c r="E255" s="84"/>
      <c r="F255" s="83"/>
      <c r="G255" s="83"/>
      <c r="H255" s="83"/>
      <c r="I255" s="83"/>
      <c r="J255" s="83"/>
    </row>
    <row r="256" spans="2:10" ht="15.6" x14ac:dyDescent="0.3">
      <c r="C256" s="83"/>
      <c r="D256" s="83"/>
      <c r="E256" s="83"/>
      <c r="F256" s="83"/>
      <c r="G256" s="83"/>
      <c r="H256" s="83"/>
      <c r="I256" s="83"/>
      <c r="J256" s="83"/>
    </row>
    <row r="257" spans="3:10" ht="15.6" x14ac:dyDescent="0.3">
      <c r="C257" s="83"/>
      <c r="D257" s="83"/>
      <c r="E257" s="83"/>
      <c r="F257" s="83"/>
      <c r="G257" s="83"/>
      <c r="H257" s="83"/>
      <c r="I257" s="83"/>
      <c r="J257" s="83"/>
    </row>
  </sheetData>
  <mergeCells count="29">
    <mergeCell ref="C254:E254"/>
    <mergeCell ref="O11:O12"/>
    <mergeCell ref="P11:P12"/>
    <mergeCell ref="Q11:Q12"/>
    <mergeCell ref="R11:R12"/>
    <mergeCell ref="S11:S12"/>
    <mergeCell ref="C248:E248"/>
    <mergeCell ref="F11:F12"/>
    <mergeCell ref="G11:G12"/>
    <mergeCell ref="H11:K11"/>
    <mergeCell ref="L11:L12"/>
    <mergeCell ref="M11:M12"/>
    <mergeCell ref="N11:N12"/>
    <mergeCell ref="M6:S6"/>
    <mergeCell ref="O8:P8"/>
    <mergeCell ref="S8:AH8"/>
    <mergeCell ref="B9:R9"/>
    <mergeCell ref="B10:R10"/>
    <mergeCell ref="A11:A12"/>
    <mergeCell ref="B11:B12"/>
    <mergeCell ref="C11:C12"/>
    <mergeCell ref="D11:D12"/>
    <mergeCell ref="E11:E12"/>
    <mergeCell ref="B1:S1"/>
    <mergeCell ref="M2:S2"/>
    <mergeCell ref="B3:D3"/>
    <mergeCell ref="M3:S3"/>
    <mergeCell ref="B5:D5"/>
    <mergeCell ref="M5:P5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66B20-A30F-4CF0-BCC6-2EF521C3A1D9}">
  <dimension ref="A1:AI256"/>
  <sheetViews>
    <sheetView view="pageBreakPreview" topLeftCell="A10" zoomScale="70" zoomScaleNormal="70" zoomScaleSheetLayoutView="70" workbookViewId="0">
      <selection activeCell="G11" sqref="G11:G12"/>
    </sheetView>
  </sheetViews>
  <sheetFormatPr defaultColWidth="8.88671875" defaultRowHeight="12" x14ac:dyDescent="0.25"/>
  <cols>
    <col min="1" max="1" width="5.109375" style="1" customWidth="1"/>
    <col min="2" max="2" width="48.6640625" style="2" customWidth="1"/>
    <col min="3" max="3" width="1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2" width="11.33203125" style="2" customWidth="1"/>
    <col min="13" max="13" width="10.21875" style="2" customWidth="1"/>
    <col min="14" max="14" width="9.88671875" style="2" customWidth="1"/>
    <col min="15" max="15" width="10" style="2" customWidth="1"/>
    <col min="16" max="16" width="9.44140625" style="2" customWidth="1"/>
    <col min="17" max="17" width="0.21875" style="2" customWidth="1"/>
    <col min="18" max="18" width="10.5546875" style="2" customWidth="1"/>
    <col min="19" max="19" width="14.1093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4"/>
      <c r="S1" s="16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63"/>
      <c r="N2" s="164"/>
      <c r="O2" s="164"/>
      <c r="P2" s="164"/>
      <c r="Q2" s="164"/>
      <c r="R2" s="164"/>
      <c r="S2" s="164"/>
    </row>
    <row r="3" spans="1:35" ht="40.799999999999997" customHeight="1" x14ac:dyDescent="0.35">
      <c r="B3" s="165" t="s">
        <v>0</v>
      </c>
      <c r="C3" s="166"/>
      <c r="D3" s="166"/>
      <c r="E3" s="4"/>
      <c r="F3" s="4"/>
      <c r="G3" s="4"/>
      <c r="H3" s="4"/>
      <c r="I3" s="4"/>
      <c r="J3" s="4"/>
      <c r="K3" s="4"/>
      <c r="L3" s="4"/>
      <c r="M3" s="167" t="s">
        <v>348</v>
      </c>
      <c r="N3" s="168"/>
      <c r="O3" s="168"/>
      <c r="P3" s="168"/>
      <c r="Q3" s="168"/>
      <c r="R3" s="168"/>
      <c r="S3" s="168"/>
    </row>
    <row r="4" spans="1:35" ht="17.399999999999999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 t="s">
        <v>347</v>
      </c>
      <c r="N4"/>
      <c r="O4"/>
      <c r="P4"/>
      <c r="Q4"/>
      <c r="R4"/>
      <c r="S4"/>
    </row>
    <row r="5" spans="1:35" ht="17.399999999999999" x14ac:dyDescent="0.3">
      <c r="B5" s="169" t="s">
        <v>2</v>
      </c>
      <c r="C5" s="169"/>
      <c r="D5" s="169"/>
      <c r="G5" s="8"/>
      <c r="H5" s="8"/>
      <c r="I5" s="8"/>
      <c r="J5" s="8"/>
      <c r="K5" s="8"/>
      <c r="L5" s="8"/>
      <c r="M5" s="143"/>
      <c r="N5" s="144"/>
      <c r="O5" s="144"/>
      <c r="P5" s="144"/>
      <c r="Q5" s="9"/>
      <c r="R5" s="9"/>
      <c r="S5" s="3"/>
    </row>
    <row r="6" spans="1:35" ht="29.4" customHeight="1" x14ac:dyDescent="0.3">
      <c r="B6" s="10"/>
      <c r="G6" s="11"/>
      <c r="H6" s="12"/>
      <c r="M6" s="155"/>
      <c r="N6" s="144"/>
      <c r="O6" s="144"/>
      <c r="P6" s="144"/>
      <c r="Q6" s="144"/>
      <c r="R6" s="144"/>
      <c r="S6" s="144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6" t="s">
        <v>350</v>
      </c>
      <c r="P8" s="157"/>
      <c r="Q8" s="13"/>
      <c r="R8" s="13"/>
      <c r="S8" s="158" t="s">
        <v>6</v>
      </c>
      <c r="T8" s="158"/>
      <c r="U8" s="158"/>
      <c r="V8" s="158"/>
      <c r="W8" s="158"/>
      <c r="X8" s="158"/>
      <c r="Y8" s="158"/>
      <c r="Z8" s="158"/>
      <c r="AA8" s="158"/>
      <c r="AB8" s="158"/>
      <c r="AC8" s="158"/>
      <c r="AD8" s="158"/>
      <c r="AE8" s="158"/>
      <c r="AF8" s="158"/>
      <c r="AG8" s="158"/>
      <c r="AH8" s="158"/>
      <c r="AI8" s="14"/>
    </row>
    <row r="9" spans="1:35" ht="23.4" customHeight="1" x14ac:dyDescent="0.3">
      <c r="B9" s="159" t="s">
        <v>7</v>
      </c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4" t="s">
        <v>8</v>
      </c>
    </row>
    <row r="10" spans="1:35" ht="27.6" customHeight="1" thickBot="1" x14ac:dyDescent="0.35">
      <c r="B10" s="160" t="s">
        <v>352</v>
      </c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</row>
    <row r="11" spans="1:35" ht="37.950000000000003" customHeight="1" x14ac:dyDescent="0.25">
      <c r="A11" s="161"/>
      <c r="B11" s="149" t="s">
        <v>10</v>
      </c>
      <c r="C11" s="151" t="s">
        <v>11</v>
      </c>
      <c r="D11" s="151" t="s">
        <v>12</v>
      </c>
      <c r="E11" s="151" t="s">
        <v>13</v>
      </c>
      <c r="F11" s="151" t="s">
        <v>14</v>
      </c>
      <c r="G11" s="151" t="s">
        <v>15</v>
      </c>
      <c r="H11" s="151" t="s">
        <v>16</v>
      </c>
      <c r="I11" s="151"/>
      <c r="J11" s="151"/>
      <c r="K11" s="151"/>
      <c r="L11" s="147" t="s">
        <v>17</v>
      </c>
      <c r="M11" s="147" t="s">
        <v>18</v>
      </c>
      <c r="N11" s="147" t="s">
        <v>19</v>
      </c>
      <c r="O11" s="145" t="s">
        <v>20</v>
      </c>
      <c r="P11" s="147" t="s">
        <v>21</v>
      </c>
      <c r="Q11" s="149"/>
      <c r="R11" s="151" t="s">
        <v>22</v>
      </c>
      <c r="S11" s="153" t="s">
        <v>351</v>
      </c>
    </row>
    <row r="12" spans="1:35" ht="64.95" customHeight="1" thickBot="1" x14ac:dyDescent="0.3">
      <c r="A12" s="162"/>
      <c r="B12" s="150"/>
      <c r="C12" s="152"/>
      <c r="D12" s="152"/>
      <c r="E12" s="152"/>
      <c r="F12" s="152"/>
      <c r="G12" s="152"/>
      <c r="H12" s="16" t="s">
        <v>24</v>
      </c>
      <c r="I12" s="17" t="s">
        <v>25</v>
      </c>
      <c r="J12" s="17" t="s">
        <v>26</v>
      </c>
      <c r="K12" s="16" t="s">
        <v>27</v>
      </c>
      <c r="L12" s="148"/>
      <c r="M12" s="148"/>
      <c r="N12" s="148"/>
      <c r="O12" s="146"/>
      <c r="P12" s="148"/>
      <c r="Q12" s="150"/>
      <c r="R12" s="152"/>
      <c r="S12" s="154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R14*9</f>
        <v>483750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R15*9</f>
        <v>202500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202500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6315</v>
      </c>
      <c r="F17" s="23"/>
      <c r="G17" s="23">
        <f>E17</f>
        <v>6315</v>
      </c>
      <c r="H17" s="23">
        <f>G17*0.5</f>
        <v>3157.5</v>
      </c>
      <c r="I17" s="23" t="s">
        <v>37</v>
      </c>
      <c r="J17" s="24"/>
      <c r="K17" s="22">
        <f>G17*0.3</f>
        <v>1894.5</v>
      </c>
      <c r="L17" s="23"/>
      <c r="M17" s="24"/>
      <c r="N17" s="23"/>
      <c r="O17" s="26">
        <f>G17*200%</f>
        <v>12630</v>
      </c>
      <c r="P17" s="24"/>
      <c r="Q17" s="22"/>
      <c r="R17" s="23">
        <f>N17+K17+H17+E17+L17+O17</f>
        <v>23997</v>
      </c>
      <c r="S17" s="25">
        <f t="shared" si="0"/>
        <v>215973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6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360000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5691*C19</f>
        <v>11382</v>
      </c>
      <c r="F19" s="23"/>
      <c r="G19" s="23">
        <f t="shared" si="1"/>
        <v>11382</v>
      </c>
      <c r="H19" s="23">
        <f t="shared" ref="H19:H26" si="2">G19*0.5</f>
        <v>5691</v>
      </c>
      <c r="I19" s="23"/>
      <c r="J19" s="23"/>
      <c r="K19" s="23"/>
      <c r="L19" s="23" t="s">
        <v>44</v>
      </c>
      <c r="M19" s="23"/>
      <c r="N19" s="23"/>
      <c r="O19" s="23">
        <f>E19*200%</f>
        <v>22764</v>
      </c>
      <c r="P19" s="23" t="s">
        <v>8</v>
      </c>
      <c r="Q19" s="23"/>
      <c r="R19" s="23">
        <f>G19+H19+O19</f>
        <v>39837</v>
      </c>
      <c r="S19" s="25">
        <f t="shared" si="0"/>
        <v>358533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9</v>
      </c>
      <c r="E20" s="23">
        <v>6003</v>
      </c>
      <c r="F20" s="23"/>
      <c r="G20" s="23">
        <f t="shared" si="1"/>
        <v>6003</v>
      </c>
      <c r="H20" s="23">
        <f t="shared" si="2"/>
        <v>3001.5</v>
      </c>
      <c r="I20" s="23"/>
      <c r="J20" s="23"/>
      <c r="K20" s="23"/>
      <c r="L20" s="23" t="s">
        <v>44</v>
      </c>
      <c r="M20" s="23"/>
      <c r="N20" s="23"/>
      <c r="O20" s="23">
        <f>E20*200%</f>
        <v>12006</v>
      </c>
      <c r="P20" s="23" t="s">
        <v>8</v>
      </c>
      <c r="Q20" s="23"/>
      <c r="R20" s="23">
        <f>G20+H20+O20</f>
        <v>21010.5</v>
      </c>
      <c r="S20" s="25">
        <f t="shared" si="0"/>
        <v>189094.5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5691</v>
      </c>
      <c r="F21" s="22"/>
      <c r="G21" s="23">
        <f t="shared" si="1"/>
        <v>5691</v>
      </c>
      <c r="H21" s="23">
        <f t="shared" si="2"/>
        <v>2845.5</v>
      </c>
      <c r="I21" s="24"/>
      <c r="J21" s="24"/>
      <c r="K21" s="22"/>
      <c r="L21" s="24"/>
      <c r="M21" s="24"/>
      <c r="N21" s="23"/>
      <c r="O21" s="23">
        <f>G21*200%</f>
        <v>11382</v>
      </c>
      <c r="P21" s="24"/>
      <c r="Q21" s="22"/>
      <c r="R21" s="23">
        <f t="shared" ref="R21:R25" si="3">G21+H21+O21</f>
        <v>19918.5</v>
      </c>
      <c r="S21" s="25">
        <f t="shared" si="0"/>
        <v>179266.5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5032</v>
      </c>
      <c r="F22" s="22"/>
      <c r="G22" s="23">
        <f t="shared" si="1"/>
        <v>5032</v>
      </c>
      <c r="H22" s="22">
        <f t="shared" si="2"/>
        <v>2516</v>
      </c>
      <c r="I22" s="24"/>
      <c r="J22" s="24"/>
      <c r="K22" s="22"/>
      <c r="L22" s="24"/>
      <c r="M22" s="24"/>
      <c r="N22" s="23"/>
      <c r="O22" s="23">
        <f>G22*200%</f>
        <v>10064</v>
      </c>
      <c r="P22" s="24"/>
      <c r="Q22" s="22"/>
      <c r="R22" s="23">
        <f t="shared" si="3"/>
        <v>17612</v>
      </c>
      <c r="S22" s="25">
        <f t="shared" si="0"/>
        <v>158508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5032*C23</f>
        <v>2516</v>
      </c>
      <c r="F23" s="22"/>
      <c r="G23" s="23">
        <f t="shared" si="1"/>
        <v>2516</v>
      </c>
      <c r="H23" s="22">
        <f t="shared" si="2"/>
        <v>1258</v>
      </c>
      <c r="I23" s="24"/>
      <c r="J23" s="24"/>
      <c r="K23" s="22"/>
      <c r="L23" s="24"/>
      <c r="M23" s="24"/>
      <c r="N23" s="23"/>
      <c r="O23" s="23">
        <f>G23*150%</f>
        <v>3774</v>
      </c>
      <c r="P23" s="24"/>
      <c r="Q23" s="22"/>
      <c r="R23" s="23">
        <f t="shared" si="3"/>
        <v>7548</v>
      </c>
      <c r="S23" s="25">
        <f t="shared" si="0"/>
        <v>67932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4407</v>
      </c>
      <c r="F24" s="22"/>
      <c r="G24" s="23">
        <f t="shared" si="1"/>
        <v>4407</v>
      </c>
      <c r="H24" s="22">
        <f t="shared" si="2"/>
        <v>2203.5</v>
      </c>
      <c r="I24" s="24"/>
      <c r="J24" s="24"/>
      <c r="K24" s="22"/>
      <c r="L24" s="24"/>
      <c r="M24" s="24"/>
      <c r="N24" s="23"/>
      <c r="O24" s="23">
        <f>G24*200%</f>
        <v>8814</v>
      </c>
      <c r="P24" s="24"/>
      <c r="Q24" s="22"/>
      <c r="R24" s="23">
        <f t="shared" si="3"/>
        <v>15424.5</v>
      </c>
      <c r="S24" s="25">
        <f t="shared" si="0"/>
        <v>138820.5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6003</v>
      </c>
      <c r="F25" s="23"/>
      <c r="G25" s="23">
        <f t="shared" si="1"/>
        <v>6003</v>
      </c>
      <c r="H25" s="23">
        <f t="shared" si="2"/>
        <v>3001.5</v>
      </c>
      <c r="I25" s="23"/>
      <c r="J25" s="23"/>
      <c r="K25" s="23"/>
      <c r="L25" s="23"/>
      <c r="M25" s="23"/>
      <c r="N25" s="23"/>
      <c r="O25" s="23">
        <f>G25*150%</f>
        <v>9004.5</v>
      </c>
      <c r="P25" s="23"/>
      <c r="Q25" s="23"/>
      <c r="R25" s="23">
        <f t="shared" si="3"/>
        <v>18009</v>
      </c>
      <c r="S25" s="25">
        <f t="shared" si="0"/>
        <v>162081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4407*C26</f>
        <v>4407</v>
      </c>
      <c r="F26" s="22"/>
      <c r="G26" s="23">
        <f t="shared" si="1"/>
        <v>4407</v>
      </c>
      <c r="H26" s="22">
        <f t="shared" si="2"/>
        <v>2203.5</v>
      </c>
      <c r="I26" s="24"/>
      <c r="J26" s="24"/>
      <c r="K26" s="22"/>
      <c r="L26" s="24"/>
      <c r="M26" s="24"/>
      <c r="N26" s="23"/>
      <c r="O26" s="23">
        <f>G26*150%</f>
        <v>6610.5</v>
      </c>
      <c r="P26" s="24"/>
      <c r="Q26" s="22"/>
      <c r="R26" s="23">
        <f>G26+H26+O26</f>
        <v>13221</v>
      </c>
      <c r="S26" s="25">
        <f t="shared" si="0"/>
        <v>118989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141756</v>
      </c>
      <c r="F27" s="34"/>
      <c r="G27" s="35">
        <f>SUM(G14:G26)</f>
        <v>141756</v>
      </c>
      <c r="H27" s="34">
        <f>SUM(H14:H26)</f>
        <v>25878</v>
      </c>
      <c r="I27" s="90"/>
      <c r="J27" s="90"/>
      <c r="K27" s="34">
        <f>SUM(K14:K26)</f>
        <v>1894.5</v>
      </c>
      <c r="L27" s="90"/>
      <c r="M27" s="34">
        <f>SUM(M14:M26)</f>
        <v>3750</v>
      </c>
      <c r="N27" s="35"/>
      <c r="O27" s="35">
        <f>SUM(O14:O26)</f>
        <v>142049</v>
      </c>
      <c r="P27" s="90"/>
      <c r="Q27" s="34"/>
      <c r="R27" s="35">
        <f>SUM(R14:R26)</f>
        <v>315327.5</v>
      </c>
      <c r="S27" s="31">
        <f>SUM(S14:S26)</f>
        <v>2837947.5</v>
      </c>
    </row>
    <row r="28" spans="1:19" s="13" customFormat="1" ht="25.2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25"/>
    </row>
    <row r="29" spans="1:19" x14ac:dyDescent="0.25">
      <c r="A29" s="20" t="s">
        <v>61</v>
      </c>
      <c r="B29" s="21" t="s">
        <v>62</v>
      </c>
      <c r="C29" s="22">
        <v>0.5</v>
      </c>
      <c r="D29" s="22">
        <v>7</v>
      </c>
      <c r="E29" s="23">
        <f>5344*C29</f>
        <v>2672</v>
      </c>
      <c r="F29" s="22"/>
      <c r="G29" s="23">
        <f t="shared" ref="G29:G32" si="4">E29+F29</f>
        <v>2672</v>
      </c>
      <c r="H29" s="23"/>
      <c r="I29" s="23"/>
      <c r="J29" s="23"/>
      <c r="K29" s="23"/>
      <c r="L29" s="23"/>
      <c r="M29" s="23"/>
      <c r="N29" s="23"/>
      <c r="O29" s="23"/>
      <c r="P29" s="23">
        <f>8647*C29-G29</f>
        <v>1651.5</v>
      </c>
      <c r="Q29" s="23"/>
      <c r="R29" s="23">
        <f>G29+H29+I29+ J29+K29+L29+N29+O29+P29</f>
        <v>4323.5</v>
      </c>
      <c r="S29" s="25">
        <f>R29*9</f>
        <v>38911.5</v>
      </c>
    </row>
    <row r="30" spans="1:19" x14ac:dyDescent="0.25">
      <c r="A30" s="20" t="s">
        <v>61</v>
      </c>
      <c r="B30" s="21" t="s">
        <v>328</v>
      </c>
      <c r="C30" s="22">
        <v>0.5</v>
      </c>
      <c r="D30" s="22">
        <v>6</v>
      </c>
      <c r="E30" s="23">
        <f>5032*C30</f>
        <v>2516</v>
      </c>
      <c r="F30" s="22"/>
      <c r="G30" s="23">
        <f t="shared" si="4"/>
        <v>2516</v>
      </c>
      <c r="H30" s="23"/>
      <c r="I30" s="23"/>
      <c r="J30" s="23"/>
      <c r="K30" s="23"/>
      <c r="L30" s="23"/>
      <c r="M30" s="23"/>
      <c r="N30" s="23"/>
      <c r="O30" s="23"/>
      <c r="P30" s="23">
        <f>8647*C30-G30</f>
        <v>1807.5</v>
      </c>
      <c r="Q30" s="23"/>
      <c r="R30" s="23">
        <f>G30+H30+I30+ J30+K30+L30+N30+O30+P30</f>
        <v>4323.5</v>
      </c>
      <c r="S30" s="25">
        <f t="shared" ref="S30:S37" si="5">R30*9</f>
        <v>38911.5</v>
      </c>
    </row>
    <row r="31" spans="1:19" x14ac:dyDescent="0.25">
      <c r="A31" s="20" t="s">
        <v>63</v>
      </c>
      <c r="B31" s="21" t="s">
        <v>64</v>
      </c>
      <c r="C31" s="22">
        <v>0.5</v>
      </c>
      <c r="D31" s="22">
        <v>1</v>
      </c>
      <c r="E31" s="23">
        <f>3470*C31</f>
        <v>1735</v>
      </c>
      <c r="F31" s="22"/>
      <c r="G31" s="23">
        <f t="shared" si="4"/>
        <v>1735</v>
      </c>
      <c r="H31" s="23"/>
      <c r="I31" s="23"/>
      <c r="J31" s="23"/>
      <c r="K31" s="23"/>
      <c r="L31" s="23"/>
      <c r="M31" s="23"/>
      <c r="N31" s="23"/>
      <c r="O31" s="23"/>
      <c r="P31" s="23">
        <f>8647*C31-E31</f>
        <v>2588.5</v>
      </c>
      <c r="Q31" s="23"/>
      <c r="R31" s="23">
        <f t="shared" ref="R31:R32" si="6">G31+H31+I31+ J31+K31+L31+N31+O31+P31</f>
        <v>4323.5</v>
      </c>
      <c r="S31" s="25">
        <f t="shared" si="5"/>
        <v>38911.5</v>
      </c>
    </row>
    <row r="32" spans="1:19" x14ac:dyDescent="0.25">
      <c r="A32" s="20" t="s">
        <v>65</v>
      </c>
      <c r="B32" s="21" t="s">
        <v>66</v>
      </c>
      <c r="C32" s="22">
        <v>1.5</v>
      </c>
      <c r="D32" s="22">
        <v>1</v>
      </c>
      <c r="E32" s="23">
        <f>3470*C32</f>
        <v>5205</v>
      </c>
      <c r="F32" s="22"/>
      <c r="G32" s="23">
        <f t="shared" si="4"/>
        <v>5205</v>
      </c>
      <c r="H32" s="23"/>
      <c r="I32" s="23"/>
      <c r="J32" s="23"/>
      <c r="K32" s="23"/>
      <c r="L32" s="23"/>
      <c r="M32" s="23"/>
      <c r="N32" s="23"/>
      <c r="O32" s="23"/>
      <c r="P32" s="23">
        <f>8647*C32-G32</f>
        <v>7765.5</v>
      </c>
      <c r="Q32" s="23"/>
      <c r="R32" s="23">
        <f t="shared" si="6"/>
        <v>12970.5</v>
      </c>
      <c r="S32" s="25">
        <f t="shared" si="5"/>
        <v>116734.5</v>
      </c>
    </row>
    <row r="33" spans="1:19" x14ac:dyDescent="0.25">
      <c r="A33" s="20" t="s">
        <v>67</v>
      </c>
      <c r="B33" s="21" t="s">
        <v>68</v>
      </c>
      <c r="C33" s="22">
        <v>1.5</v>
      </c>
      <c r="D33" s="22">
        <v>3</v>
      </c>
      <c r="E33" s="23">
        <f>4095*C33</f>
        <v>6142.5</v>
      </c>
      <c r="F33" s="22"/>
      <c r="G33" s="23">
        <f t="shared" si="1"/>
        <v>6142.5</v>
      </c>
      <c r="H33" s="23"/>
      <c r="I33" s="23"/>
      <c r="J33" s="23"/>
      <c r="K33" s="23"/>
      <c r="L33" s="23"/>
      <c r="M33" s="23"/>
      <c r="N33" s="23"/>
      <c r="O33" s="23"/>
      <c r="P33" s="23">
        <f>8647*C33-G33</f>
        <v>6828</v>
      </c>
      <c r="Q33" s="23"/>
      <c r="R33" s="23">
        <f>G33+H33+I33+ J33+K33+L33+N33+O33+P33</f>
        <v>12970.5</v>
      </c>
      <c r="S33" s="25">
        <f t="shared" si="5"/>
        <v>116734.5</v>
      </c>
    </row>
    <row r="34" spans="1:19" ht="24" x14ac:dyDescent="0.25">
      <c r="A34" s="20" t="s">
        <v>67</v>
      </c>
      <c r="B34" s="21" t="s">
        <v>315</v>
      </c>
      <c r="C34" s="22">
        <v>0.5</v>
      </c>
      <c r="D34" s="22">
        <v>3</v>
      </c>
      <c r="E34" s="23">
        <f>4095*C34</f>
        <v>2047.5</v>
      </c>
      <c r="F34" s="22"/>
      <c r="G34" s="23">
        <f t="shared" si="1"/>
        <v>2047.5</v>
      </c>
      <c r="H34" s="23"/>
      <c r="I34" s="23"/>
      <c r="J34" s="23"/>
      <c r="K34" s="23"/>
      <c r="L34" s="23"/>
      <c r="M34" s="23"/>
      <c r="N34" s="23"/>
      <c r="O34" s="23"/>
      <c r="P34" s="23">
        <f>8647*C34-G34</f>
        <v>2276</v>
      </c>
      <c r="Q34" s="23"/>
      <c r="R34" s="23">
        <f>G34+H34+I34+ J34+K34+L34+N34+O34+P34</f>
        <v>4323.5</v>
      </c>
      <c r="S34" s="25">
        <f t="shared" si="5"/>
        <v>38911.5</v>
      </c>
    </row>
    <row r="35" spans="1:19" ht="12.6" customHeight="1" x14ac:dyDescent="0.25">
      <c r="A35" s="20" t="s">
        <v>69</v>
      </c>
      <c r="B35" s="21" t="s">
        <v>70</v>
      </c>
      <c r="C35" s="22">
        <v>1</v>
      </c>
      <c r="D35" s="22">
        <v>2</v>
      </c>
      <c r="E35" s="23">
        <f>3782*C35</f>
        <v>3782</v>
      </c>
      <c r="F35" s="22">
        <f>E35*0.2</f>
        <v>756.40000000000009</v>
      </c>
      <c r="G35" s="23">
        <f t="shared" si="1"/>
        <v>4538.3999999999996</v>
      </c>
      <c r="H35" s="23"/>
      <c r="I35" s="23"/>
      <c r="J35" s="23">
        <f>G35*4%</f>
        <v>181.536</v>
      </c>
      <c r="K35" s="23"/>
      <c r="L35" s="23"/>
      <c r="M35" s="23"/>
      <c r="N35" s="23"/>
      <c r="O35" s="23"/>
      <c r="P35" s="23">
        <f>8647-E35</f>
        <v>4865</v>
      </c>
      <c r="Q35" s="23"/>
      <c r="R35" s="23">
        <f>G35+J35+P35</f>
        <v>9584.9359999999997</v>
      </c>
      <c r="S35" s="25">
        <f t="shared" si="5"/>
        <v>86264.423999999999</v>
      </c>
    </row>
    <row r="36" spans="1:19" ht="18" customHeight="1" x14ac:dyDescent="0.25">
      <c r="A36" s="20" t="s">
        <v>71</v>
      </c>
      <c r="B36" s="21" t="s">
        <v>72</v>
      </c>
      <c r="C36" s="22">
        <v>1</v>
      </c>
      <c r="D36" s="22">
        <v>1</v>
      </c>
      <c r="E36" s="23">
        <f>3470*C36</f>
        <v>3470</v>
      </c>
      <c r="F36" s="22"/>
      <c r="G36" s="23">
        <f t="shared" si="1"/>
        <v>3470</v>
      </c>
      <c r="H36" s="23"/>
      <c r="I36" s="23"/>
      <c r="J36" s="23"/>
      <c r="K36" s="23"/>
      <c r="L36" s="23"/>
      <c r="M36" s="23"/>
      <c r="N36" s="23"/>
      <c r="O36" s="23"/>
      <c r="P36" s="23">
        <f>8647-G36</f>
        <v>5177</v>
      </c>
      <c r="Q36" s="23"/>
      <c r="R36" s="23">
        <f t="shared" ref="R36" si="7">G36+H36+I36+ J36+K36+L36+N36+O36+P36</f>
        <v>8647</v>
      </c>
      <c r="S36" s="25">
        <f t="shared" si="5"/>
        <v>77823</v>
      </c>
    </row>
    <row r="37" spans="1:19" x14ac:dyDescent="0.25">
      <c r="A37" s="20" t="s">
        <v>73</v>
      </c>
      <c r="B37" s="21" t="s">
        <v>74</v>
      </c>
      <c r="C37" s="22">
        <v>1</v>
      </c>
      <c r="D37" s="22">
        <v>5</v>
      </c>
      <c r="E37" s="23">
        <f>4719*C37</f>
        <v>4719</v>
      </c>
      <c r="F37" s="23"/>
      <c r="G37" s="23">
        <f>E37+F37</f>
        <v>4719</v>
      </c>
      <c r="H37" s="23"/>
      <c r="I37" s="23"/>
      <c r="J37" s="23"/>
      <c r="K37" s="23"/>
      <c r="L37" s="23"/>
      <c r="M37" s="23"/>
      <c r="N37" s="23"/>
      <c r="O37" s="23"/>
      <c r="P37" s="23">
        <f>8647-G37</f>
        <v>3928</v>
      </c>
      <c r="Q37" s="32"/>
      <c r="R37" s="23">
        <f>G37+P37</f>
        <v>8647</v>
      </c>
      <c r="S37" s="25">
        <f t="shared" si="5"/>
        <v>77823</v>
      </c>
    </row>
    <row r="38" spans="1:19" s="27" customFormat="1" ht="20.399999999999999" customHeight="1" thickBot="1" x14ac:dyDescent="0.3">
      <c r="A38" s="64"/>
      <c r="B38" s="47" t="s">
        <v>59</v>
      </c>
      <c r="C38" s="34">
        <f>SUM(C29:C37)</f>
        <v>8</v>
      </c>
      <c r="D38" s="34"/>
      <c r="E38" s="35">
        <f>SUM(E29:E37)</f>
        <v>32289</v>
      </c>
      <c r="F38" s="34">
        <f>SUM(F29:F37)</f>
        <v>756.40000000000009</v>
      </c>
      <c r="G38" s="35">
        <f>E38+F38</f>
        <v>33045.4</v>
      </c>
      <c r="H38" s="35"/>
      <c r="I38" s="35">
        <f>SUM(I29:I36)</f>
        <v>0</v>
      </c>
      <c r="J38" s="35">
        <f>SUM(J29:J36)</f>
        <v>181.536</v>
      </c>
      <c r="K38" s="35"/>
      <c r="L38" s="35"/>
      <c r="M38" s="35"/>
      <c r="N38" s="35"/>
      <c r="O38" s="35"/>
      <c r="P38" s="35">
        <f>SUM(P29:P37)</f>
        <v>36887</v>
      </c>
      <c r="Q38" s="35"/>
      <c r="R38" s="35">
        <f>SUM(R29:R37)</f>
        <v>70113.936000000002</v>
      </c>
      <c r="S38" s="36">
        <f>SUM(S29:S37)</f>
        <v>631025.424</v>
      </c>
    </row>
    <row r="39" spans="1:19" ht="15.6" customHeight="1" x14ac:dyDescent="0.25">
      <c r="A39" s="18"/>
      <c r="B39" s="86" t="s">
        <v>75</v>
      </c>
      <c r="C39" s="85"/>
      <c r="D39" s="85"/>
      <c r="E39" s="85"/>
      <c r="F39" s="85"/>
      <c r="G39" s="94"/>
      <c r="H39" s="85" t="s">
        <v>76</v>
      </c>
      <c r="I39" s="95"/>
      <c r="J39" s="95"/>
      <c r="K39" s="85"/>
      <c r="L39" s="95"/>
      <c r="M39" s="95"/>
      <c r="N39" s="95"/>
      <c r="O39" s="95"/>
      <c r="P39" s="95"/>
      <c r="Q39" s="85"/>
      <c r="R39" s="85"/>
      <c r="S39" s="96"/>
    </row>
    <row r="40" spans="1:19" s="13" customFormat="1" x14ac:dyDescent="0.2">
      <c r="A40" s="28" t="s">
        <v>77</v>
      </c>
      <c r="B40" s="21" t="s">
        <v>78</v>
      </c>
      <c r="C40" s="22">
        <v>2.5</v>
      </c>
      <c r="D40" s="22">
        <v>2</v>
      </c>
      <c r="E40" s="23">
        <f>3782*C40</f>
        <v>9455</v>
      </c>
      <c r="F40" s="22"/>
      <c r="G40" s="23">
        <f t="shared" ref="G40:G41" si="8">E40+F40</f>
        <v>9455</v>
      </c>
      <c r="H40" s="23"/>
      <c r="I40" s="23"/>
      <c r="J40" s="23"/>
      <c r="K40" s="23"/>
      <c r="L40" s="23"/>
      <c r="M40" s="23"/>
      <c r="N40" s="23"/>
      <c r="O40" s="23"/>
      <c r="P40" s="23">
        <f>8647*C40-G40</f>
        <v>12162.5</v>
      </c>
      <c r="Q40" s="23"/>
      <c r="R40" s="23">
        <f t="shared" ref="R40" si="9">G40+H40+I40+ J40+K40+L40+N40+O40+P40</f>
        <v>21617.5</v>
      </c>
      <c r="S40" s="25">
        <f>R40*9</f>
        <v>194557.5</v>
      </c>
    </row>
    <row r="41" spans="1:19" s="37" customFormat="1" ht="16.8" customHeight="1" thickBot="1" x14ac:dyDescent="0.3">
      <c r="A41" s="33"/>
      <c r="B41" s="47" t="s">
        <v>59</v>
      </c>
      <c r="C41" s="34">
        <f>SUM(C40:C40)</f>
        <v>2.5</v>
      </c>
      <c r="D41" s="34"/>
      <c r="E41" s="35">
        <f>SUM(E40:E40)</f>
        <v>9455</v>
      </c>
      <c r="F41" s="34"/>
      <c r="G41" s="35">
        <f t="shared" si="8"/>
        <v>9455</v>
      </c>
      <c r="H41" s="35"/>
      <c r="I41" s="35"/>
      <c r="J41" s="35"/>
      <c r="K41" s="35"/>
      <c r="L41" s="35"/>
      <c r="M41" s="35"/>
      <c r="N41" s="35"/>
      <c r="O41" s="35"/>
      <c r="P41" s="35">
        <f>SUM(P40:P40)</f>
        <v>12162.5</v>
      </c>
      <c r="Q41" s="35"/>
      <c r="R41" s="35">
        <f>SUM(G41:Q41)</f>
        <v>21617.5</v>
      </c>
      <c r="S41" s="36">
        <f>SUM(S40:S40)</f>
        <v>194557.5</v>
      </c>
    </row>
    <row r="42" spans="1:19" s="38" customFormat="1" ht="17.399999999999999" customHeight="1" x14ac:dyDescent="0.25">
      <c r="A42" s="18"/>
      <c r="B42" s="86" t="s">
        <v>79</v>
      </c>
      <c r="C42" s="86"/>
      <c r="D42" s="86"/>
      <c r="E42" s="86"/>
      <c r="F42" s="86"/>
      <c r="G42" s="94"/>
      <c r="H42" s="86"/>
      <c r="I42" s="19"/>
      <c r="J42" s="19"/>
      <c r="K42" s="86"/>
      <c r="L42" s="19"/>
      <c r="M42" s="19"/>
      <c r="N42" s="19"/>
      <c r="O42" s="19"/>
      <c r="P42" s="19"/>
      <c r="Q42" s="86"/>
      <c r="R42" s="86"/>
      <c r="S42" s="87"/>
    </row>
    <row r="43" spans="1:19" s="38" customFormat="1" ht="16.95" customHeight="1" x14ac:dyDescent="0.25">
      <c r="A43" s="20" t="s">
        <v>80</v>
      </c>
      <c r="B43" s="21" t="s">
        <v>64</v>
      </c>
      <c r="C43" s="22">
        <v>0.5</v>
      </c>
      <c r="D43" s="22">
        <v>1</v>
      </c>
      <c r="E43" s="22">
        <f>3470*C43</f>
        <v>1735</v>
      </c>
      <c r="F43" s="22"/>
      <c r="G43" s="22">
        <f>E43+F43</f>
        <v>1735</v>
      </c>
      <c r="H43" s="22"/>
      <c r="I43" s="24"/>
      <c r="J43" s="24"/>
      <c r="K43" s="22"/>
      <c r="L43" s="24"/>
      <c r="M43" s="24"/>
      <c r="N43" s="24"/>
      <c r="O43" s="24"/>
      <c r="P43" s="23">
        <f>8647*C43-E43</f>
        <v>2588.5</v>
      </c>
      <c r="Q43" s="22"/>
      <c r="R43" s="23">
        <f t="shared" ref="R43" si="10">G43+H43+I43+ J43+K43+L43+N43+O43+P43</f>
        <v>4323.5</v>
      </c>
      <c r="S43" s="25">
        <f>R43*9</f>
        <v>38911.5</v>
      </c>
    </row>
    <row r="44" spans="1:19" x14ac:dyDescent="0.25">
      <c r="A44" s="20" t="s">
        <v>81</v>
      </c>
      <c r="B44" s="21" t="s">
        <v>82</v>
      </c>
      <c r="C44" s="22">
        <v>2</v>
      </c>
      <c r="D44" s="22">
        <v>4</v>
      </c>
      <c r="E44" s="23">
        <f>4407*C44</f>
        <v>8814</v>
      </c>
      <c r="F44" s="22"/>
      <c r="G44" s="23">
        <f t="shared" ref="G44:G45" si="11">E44+F44</f>
        <v>8814</v>
      </c>
      <c r="H44" s="23"/>
      <c r="I44" s="23"/>
      <c r="J44" s="23">
        <f>G44*0.04</f>
        <v>352.56</v>
      </c>
      <c r="K44" s="23"/>
      <c r="L44" s="23"/>
      <c r="M44" s="23"/>
      <c r="N44" s="23"/>
      <c r="O44" s="23"/>
      <c r="P44" s="23">
        <f>8647*C44-G44</f>
        <v>8480</v>
      </c>
      <c r="Q44" s="23"/>
      <c r="R44" s="23">
        <f>SUM(G44:P44)</f>
        <v>17646.559999999998</v>
      </c>
      <c r="S44" s="25">
        <f t="shared" ref="S44:S45" si="12">R44*9</f>
        <v>158819.03999999998</v>
      </c>
    </row>
    <row r="45" spans="1:19" x14ac:dyDescent="0.25">
      <c r="A45" s="20" t="s">
        <v>83</v>
      </c>
      <c r="B45" s="21" t="s">
        <v>84</v>
      </c>
      <c r="C45" s="22">
        <v>2</v>
      </c>
      <c r="D45" s="22">
        <v>1</v>
      </c>
      <c r="E45" s="23">
        <f>3470*C45</f>
        <v>6940</v>
      </c>
      <c r="F45" s="22"/>
      <c r="G45" s="23">
        <f t="shared" si="11"/>
        <v>6940</v>
      </c>
      <c r="H45" s="23"/>
      <c r="I45" s="23">
        <f>G45*0.1</f>
        <v>694</v>
      </c>
      <c r="J45" s="23"/>
      <c r="K45" s="23"/>
      <c r="L45" s="23"/>
      <c r="M45" s="23"/>
      <c r="N45" s="23"/>
      <c r="O45" s="23"/>
      <c r="P45" s="23">
        <f>8647*C45-G45</f>
        <v>10354</v>
      </c>
      <c r="Q45" s="23"/>
      <c r="R45" s="23">
        <f>SUM(G45:P45)</f>
        <v>17988</v>
      </c>
      <c r="S45" s="25">
        <f t="shared" si="12"/>
        <v>161892</v>
      </c>
    </row>
    <row r="46" spans="1:19" s="37" customFormat="1" ht="18" customHeight="1" thickBot="1" x14ac:dyDescent="0.3">
      <c r="A46" s="33"/>
      <c r="B46" s="47" t="s">
        <v>59</v>
      </c>
      <c r="C46" s="34">
        <f>SUM(C43:C45)</f>
        <v>4.5</v>
      </c>
      <c r="D46" s="34"/>
      <c r="E46" s="35">
        <f>SUM(E43:E45)</f>
        <v>17489</v>
      </c>
      <c r="F46" s="34"/>
      <c r="G46" s="35">
        <f>SUM(G43:G45)</f>
        <v>17489</v>
      </c>
      <c r="H46" s="35"/>
      <c r="I46" s="35">
        <f>SUM(I45:I45)</f>
        <v>694</v>
      </c>
      <c r="J46" s="35">
        <f>SUM(J44:J45)</f>
        <v>352.56</v>
      </c>
      <c r="K46" s="35"/>
      <c r="L46" s="35"/>
      <c r="M46" s="35"/>
      <c r="N46" s="35"/>
      <c r="O46" s="35"/>
      <c r="P46" s="35">
        <f>SUM(P43:P45)</f>
        <v>21422.5</v>
      </c>
      <c r="Q46" s="35"/>
      <c r="R46" s="35">
        <f>SUM(R43:R45)</f>
        <v>39958.06</v>
      </c>
      <c r="S46" s="36">
        <f>SUM(S43:S45)</f>
        <v>359622.54</v>
      </c>
    </row>
    <row r="47" spans="1:19" s="39" customFormat="1" ht="13.5" customHeight="1" x14ac:dyDescent="0.25">
      <c r="A47" s="98" t="s">
        <v>316</v>
      </c>
      <c r="B47" s="99" t="s">
        <v>85</v>
      </c>
      <c r="C47" s="100"/>
      <c r="D47" s="100"/>
      <c r="E47" s="101"/>
      <c r="F47" s="100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2"/>
    </row>
    <row r="48" spans="1:19" s="42" customFormat="1" x14ac:dyDescent="0.25">
      <c r="A48" s="43" t="s">
        <v>86</v>
      </c>
      <c r="B48" s="21" t="s">
        <v>87</v>
      </c>
      <c r="C48" s="22">
        <v>0.5</v>
      </c>
      <c r="D48" s="22">
        <v>10</v>
      </c>
      <c r="E48" s="23">
        <f>6315*C48</f>
        <v>3157.5</v>
      </c>
      <c r="F48" s="22"/>
      <c r="G48" s="23">
        <f>E48</f>
        <v>3157.5</v>
      </c>
      <c r="H48" s="23"/>
      <c r="I48" s="23"/>
      <c r="J48" s="40"/>
      <c r="K48" s="23">
        <f>G48*0.3</f>
        <v>947.25</v>
      </c>
      <c r="L48" s="41">
        <f>20000*C48-G48-K48</f>
        <v>5895.25</v>
      </c>
      <c r="M48" s="23"/>
      <c r="N48" s="23"/>
      <c r="O48" s="23"/>
      <c r="P48" s="23"/>
      <c r="Q48" s="23"/>
      <c r="R48" s="23">
        <f>G48+K48+L48</f>
        <v>10000</v>
      </c>
      <c r="S48" s="25">
        <f>R48*9</f>
        <v>90000</v>
      </c>
    </row>
    <row r="49" spans="1:20" s="42" customFormat="1" x14ac:dyDescent="0.25">
      <c r="A49" s="43" t="s">
        <v>88</v>
      </c>
      <c r="B49" s="21" t="s">
        <v>89</v>
      </c>
      <c r="C49" s="22">
        <v>3</v>
      </c>
      <c r="D49" s="22">
        <v>9</v>
      </c>
      <c r="E49" s="23">
        <f>6003*C49</f>
        <v>18009</v>
      </c>
      <c r="F49" s="22"/>
      <c r="G49" s="23">
        <f>E49</f>
        <v>18009</v>
      </c>
      <c r="H49" s="23"/>
      <c r="I49" s="23"/>
      <c r="J49" s="40"/>
      <c r="K49" s="23"/>
      <c r="L49" s="41">
        <f>15000*C49-G49-K49</f>
        <v>26991</v>
      </c>
      <c r="M49" s="23"/>
      <c r="N49" s="23"/>
      <c r="O49" s="23"/>
      <c r="P49" s="23"/>
      <c r="Q49" s="23"/>
      <c r="R49" s="23">
        <f>G49+K49+L49</f>
        <v>45000</v>
      </c>
      <c r="S49" s="25">
        <f t="shared" ref="S49:S53" si="13">R49*9</f>
        <v>405000</v>
      </c>
    </row>
    <row r="50" spans="1:20" s="42" customFormat="1" x14ac:dyDescent="0.25">
      <c r="A50" s="43" t="s">
        <v>90</v>
      </c>
      <c r="B50" s="21" t="s">
        <v>91</v>
      </c>
      <c r="C50" s="22">
        <v>1</v>
      </c>
      <c r="D50" s="22">
        <v>10</v>
      </c>
      <c r="E50" s="23">
        <f>6315*C50</f>
        <v>6315</v>
      </c>
      <c r="F50" s="22"/>
      <c r="G50" s="23">
        <f>E50</f>
        <v>6315</v>
      </c>
      <c r="H50" s="23"/>
      <c r="I50" s="23"/>
      <c r="J50" s="40"/>
      <c r="K50" s="23">
        <f>G50*0.3</f>
        <v>1894.5</v>
      </c>
      <c r="L50" s="41">
        <f>13500-G50-K50</f>
        <v>5290.5</v>
      </c>
      <c r="M50" s="23"/>
      <c r="N50" s="23"/>
      <c r="O50" s="23"/>
      <c r="P50" s="23"/>
      <c r="Q50" s="23"/>
      <c r="R50" s="23">
        <f>G50+K50+L50</f>
        <v>13500</v>
      </c>
      <c r="S50" s="25">
        <f t="shared" si="13"/>
        <v>121500</v>
      </c>
    </row>
    <row r="51" spans="1:20" s="42" customFormat="1" x14ac:dyDescent="0.25">
      <c r="A51" s="43" t="s">
        <v>92</v>
      </c>
      <c r="B51" s="21" t="s">
        <v>93</v>
      </c>
      <c r="C51" s="22">
        <v>1</v>
      </c>
      <c r="D51" s="22">
        <v>4</v>
      </c>
      <c r="E51" s="23">
        <f>4407*C51</f>
        <v>4407</v>
      </c>
      <c r="F51" s="22"/>
      <c r="G51" s="23">
        <f>E51</f>
        <v>4407</v>
      </c>
      <c r="H51" s="23"/>
      <c r="I51" s="23"/>
      <c r="J51" s="40"/>
      <c r="K51" s="23"/>
      <c r="L51" s="23"/>
      <c r="M51" s="23"/>
      <c r="N51" s="23"/>
      <c r="O51" s="23">
        <f>G51*200%</f>
        <v>8814</v>
      </c>
      <c r="P51" s="23"/>
      <c r="Q51" s="23"/>
      <c r="R51" s="23">
        <f>O51+G51</f>
        <v>13221</v>
      </c>
      <c r="S51" s="25">
        <f t="shared" si="13"/>
        <v>118989</v>
      </c>
    </row>
    <row r="52" spans="1:20" s="42" customFormat="1" x14ac:dyDescent="0.25">
      <c r="A52" s="43" t="s">
        <v>94</v>
      </c>
      <c r="B52" s="21" t="s">
        <v>95</v>
      </c>
      <c r="C52" s="22">
        <v>1</v>
      </c>
      <c r="D52" s="22">
        <v>5</v>
      </c>
      <c r="E52" s="23">
        <f>4719*C52</f>
        <v>4719</v>
      </c>
      <c r="F52" s="23"/>
      <c r="G52" s="23">
        <f>E52+F52</f>
        <v>4719</v>
      </c>
      <c r="H52" s="23"/>
      <c r="I52" s="23"/>
      <c r="J52" s="23"/>
      <c r="K52" s="23"/>
      <c r="L52" s="23"/>
      <c r="M52" s="23"/>
      <c r="N52" s="23"/>
      <c r="O52" s="23"/>
      <c r="P52" s="23">
        <f>8647-G52</f>
        <v>3928</v>
      </c>
      <c r="Q52" s="32"/>
      <c r="R52" s="23">
        <f>G52+P52</f>
        <v>8647</v>
      </c>
      <c r="S52" s="25">
        <f t="shared" si="13"/>
        <v>77823</v>
      </c>
    </row>
    <row r="53" spans="1:20" x14ac:dyDescent="0.25">
      <c r="A53" s="43" t="s">
        <v>96</v>
      </c>
      <c r="B53" s="21" t="s">
        <v>97</v>
      </c>
      <c r="C53" s="22">
        <v>0.5</v>
      </c>
      <c r="D53" s="22">
        <v>9</v>
      </c>
      <c r="E53" s="23">
        <f>6003*C53</f>
        <v>3001.5</v>
      </c>
      <c r="F53" s="22"/>
      <c r="G53" s="23">
        <f t="shared" ref="G53" si="14">E53+F53</f>
        <v>3001.5</v>
      </c>
      <c r="H53" s="23"/>
      <c r="I53" s="23"/>
      <c r="J53" s="23"/>
      <c r="K53" s="23">
        <f>G53*0.3</f>
        <v>900.44999999999993</v>
      </c>
      <c r="L53" s="23">
        <f>6750-G53-K53</f>
        <v>2848.05</v>
      </c>
      <c r="M53" s="23"/>
      <c r="N53" s="23"/>
      <c r="O53" s="23"/>
      <c r="P53" s="23"/>
      <c r="Q53" s="23"/>
      <c r="R53" s="23">
        <f>L53+K53+G53</f>
        <v>6750</v>
      </c>
      <c r="S53" s="25">
        <f t="shared" si="13"/>
        <v>60750</v>
      </c>
    </row>
    <row r="54" spans="1:20" s="45" customFormat="1" ht="13.8" customHeight="1" thickBot="1" x14ac:dyDescent="0.25">
      <c r="A54" s="103"/>
      <c r="B54" s="104" t="s">
        <v>59</v>
      </c>
      <c r="C54" s="105">
        <f>SUM(C48:C53)</f>
        <v>7</v>
      </c>
      <c r="D54" s="105"/>
      <c r="E54" s="106">
        <f>SUM(E48:E53)</f>
        <v>39609</v>
      </c>
      <c r="F54" s="105"/>
      <c r="G54" s="106">
        <f>SUM(G48:G53)</f>
        <v>39609</v>
      </c>
      <c r="H54" s="106"/>
      <c r="I54" s="106"/>
      <c r="J54" s="106"/>
      <c r="K54" s="106">
        <f>SUM(K48:K53)</f>
        <v>3742.2</v>
      </c>
      <c r="L54" s="106">
        <f>SUM(L48:L53)</f>
        <v>41024.800000000003</v>
      </c>
      <c r="M54" s="106"/>
      <c r="N54" s="106"/>
      <c r="O54" s="106">
        <f>SUM(O48:O52)</f>
        <v>8814</v>
      </c>
      <c r="P54" s="106">
        <f>SUM(P48:P53)</f>
        <v>3928</v>
      </c>
      <c r="Q54" s="106"/>
      <c r="R54" s="106">
        <f>SUM(R48:R53)</f>
        <v>97118</v>
      </c>
      <c r="S54" s="107">
        <f>SUM(S48:S53)</f>
        <v>874062</v>
      </c>
    </row>
    <row r="55" spans="1:20" s="38" customFormat="1" ht="22.8" customHeight="1" x14ac:dyDescent="0.25">
      <c r="A55" s="108"/>
      <c r="B55" s="86" t="s">
        <v>98</v>
      </c>
      <c r="C55" s="85"/>
      <c r="D55" s="85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109"/>
      <c r="R55" s="94"/>
      <c r="S55" s="110"/>
      <c r="T55" s="46"/>
    </row>
    <row r="56" spans="1:20" s="38" customFormat="1" x14ac:dyDescent="0.25">
      <c r="A56" s="43" t="s">
        <v>99</v>
      </c>
      <c r="B56" s="21" t="s">
        <v>100</v>
      </c>
      <c r="C56" s="22">
        <v>0.25</v>
      </c>
      <c r="D56" s="22">
        <v>14</v>
      </c>
      <c r="E56" s="23">
        <f>8397*C56</f>
        <v>2099.25</v>
      </c>
      <c r="F56" s="23">
        <f>E56*10%</f>
        <v>209.92500000000001</v>
      </c>
      <c r="G56" s="23">
        <f>E56+F56</f>
        <v>2309.1750000000002</v>
      </c>
      <c r="H56" s="23"/>
      <c r="I56" s="23"/>
      <c r="J56" s="23"/>
      <c r="K56" s="23">
        <f>G56*0.3</f>
        <v>692.75250000000005</v>
      </c>
      <c r="L56" s="23">
        <f>20000*C56-G56-K56</f>
        <v>1998.0724999999998</v>
      </c>
      <c r="M56" s="23"/>
      <c r="N56" s="23"/>
      <c r="O56" s="23"/>
      <c r="P56" s="23"/>
      <c r="Q56" s="32"/>
      <c r="R56" s="23">
        <f>G56+K56+L56</f>
        <v>5000</v>
      </c>
      <c r="S56" s="25">
        <f>R56*9</f>
        <v>45000</v>
      </c>
      <c r="T56" s="46"/>
    </row>
    <row r="57" spans="1:20" s="38" customFormat="1" x14ac:dyDescent="0.25">
      <c r="A57" s="43" t="s">
        <v>101</v>
      </c>
      <c r="B57" s="21" t="s">
        <v>102</v>
      </c>
      <c r="C57" s="22">
        <v>0.5</v>
      </c>
      <c r="D57" s="22">
        <v>13</v>
      </c>
      <c r="E57" s="23">
        <f>7877*C57</f>
        <v>3938.5</v>
      </c>
      <c r="F57" s="23">
        <f>E57*0.15</f>
        <v>590.77499999999998</v>
      </c>
      <c r="G57" s="23">
        <f>E57+F57</f>
        <v>4529.2749999999996</v>
      </c>
      <c r="H57" s="23"/>
      <c r="I57" s="23"/>
      <c r="J57" s="23"/>
      <c r="K57" s="23">
        <f>G57*0.3</f>
        <v>1358.7824999999998</v>
      </c>
      <c r="L57" s="23">
        <f>20000*C57-G57-K57</f>
        <v>4111.942500000001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ref="S57:S59" si="15">R57*9</f>
        <v>90000</v>
      </c>
      <c r="T57" s="46"/>
    </row>
    <row r="58" spans="1:20" s="38" customFormat="1" x14ac:dyDescent="0.25">
      <c r="A58" s="43" t="s">
        <v>103</v>
      </c>
      <c r="B58" s="21" t="s">
        <v>104</v>
      </c>
      <c r="C58" s="22">
        <v>0.5</v>
      </c>
      <c r="D58" s="22">
        <v>13</v>
      </c>
      <c r="E58" s="23">
        <f>7877*C58</f>
        <v>3938.5</v>
      </c>
      <c r="F58" s="23">
        <f>E58*0.15</f>
        <v>590.77499999999998</v>
      </c>
      <c r="G58" s="23">
        <f>E58+F58</f>
        <v>4529.2749999999996</v>
      </c>
      <c r="H58" s="23"/>
      <c r="I58" s="23"/>
      <c r="J58" s="23"/>
      <c r="K58" s="23">
        <f>G58*0.3</f>
        <v>1358.7824999999998</v>
      </c>
      <c r="L58" s="23">
        <f>10000-G58-K58</f>
        <v>4111.942500000001</v>
      </c>
      <c r="M58" s="23"/>
      <c r="N58" s="23"/>
      <c r="O58" s="23"/>
      <c r="P58" s="23"/>
      <c r="Q58" s="32"/>
      <c r="R58" s="23">
        <f>G58+K58+L58</f>
        <v>10000</v>
      </c>
      <c r="S58" s="25">
        <f t="shared" si="15"/>
        <v>90000</v>
      </c>
      <c r="T58" s="46"/>
    </row>
    <row r="59" spans="1:20" s="38" customFormat="1" x14ac:dyDescent="0.25">
      <c r="A59" s="43" t="s">
        <v>105</v>
      </c>
      <c r="B59" s="21" t="s">
        <v>106</v>
      </c>
      <c r="C59" s="22">
        <v>1</v>
      </c>
      <c r="D59" s="22">
        <v>5</v>
      </c>
      <c r="E59" s="23">
        <f>4719*C59</f>
        <v>4719</v>
      </c>
      <c r="F59" s="23"/>
      <c r="G59" s="23">
        <f>E59+F59</f>
        <v>4719</v>
      </c>
      <c r="H59" s="23"/>
      <c r="I59" s="23"/>
      <c r="J59" s="23"/>
      <c r="K59" s="23"/>
      <c r="L59" s="23"/>
      <c r="M59" s="23"/>
      <c r="N59" s="23"/>
      <c r="O59" s="23"/>
      <c r="P59" s="23">
        <f>8647-G59</f>
        <v>3928</v>
      </c>
      <c r="Q59" s="32"/>
      <c r="R59" s="23">
        <f>G59+P59</f>
        <v>8647</v>
      </c>
      <c r="S59" s="25">
        <f t="shared" si="15"/>
        <v>77823</v>
      </c>
      <c r="T59" s="46"/>
    </row>
    <row r="60" spans="1:20" s="49" customFormat="1" ht="20.399999999999999" customHeight="1" thickBot="1" x14ac:dyDescent="0.3">
      <c r="A60" s="64"/>
      <c r="B60" s="47" t="s">
        <v>59</v>
      </c>
      <c r="C60" s="34">
        <v>2.25</v>
      </c>
      <c r="D60" s="34"/>
      <c r="E60" s="35">
        <f>SUM(E56:E59)</f>
        <v>14695.25</v>
      </c>
      <c r="F60" s="35">
        <f t="shared" ref="F60" si="16">SUM(F56:F59)</f>
        <v>1391.4749999999999</v>
      </c>
      <c r="G60" s="35">
        <f>SUM(G56:G59)</f>
        <v>16086.724999999999</v>
      </c>
      <c r="H60" s="35"/>
      <c r="I60" s="35"/>
      <c r="J60" s="35"/>
      <c r="K60" s="35">
        <f t="shared" ref="K60:L60" si="17">SUM(K56:K59)</f>
        <v>3410.3174999999997</v>
      </c>
      <c r="L60" s="35">
        <f t="shared" si="17"/>
        <v>10221.957500000002</v>
      </c>
      <c r="M60" s="35"/>
      <c r="N60" s="35"/>
      <c r="O60" s="35"/>
      <c r="P60" s="35">
        <f t="shared" ref="P60:Q60" si="18">SUM(P56:P59)</f>
        <v>3928</v>
      </c>
      <c r="Q60" s="35">
        <f t="shared" si="18"/>
        <v>0</v>
      </c>
      <c r="R60" s="35">
        <f>SUM(G60:Q60)</f>
        <v>33647</v>
      </c>
      <c r="S60" s="36">
        <f>SUM(S56:S59)</f>
        <v>302823</v>
      </c>
      <c r="T60" s="48"/>
    </row>
    <row r="61" spans="1:20" ht="24" customHeight="1" x14ac:dyDescent="0.25">
      <c r="A61" s="18"/>
      <c r="B61" s="86" t="s">
        <v>107</v>
      </c>
      <c r="C61" s="86"/>
      <c r="D61" s="86"/>
      <c r="E61" s="92"/>
      <c r="F61" s="86"/>
      <c r="G61" s="94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3"/>
    </row>
    <row r="62" spans="1:20" s="13" customFormat="1" ht="38.4" customHeight="1" x14ac:dyDescent="0.2">
      <c r="A62" s="28"/>
      <c r="B62" s="29" t="s">
        <v>108</v>
      </c>
      <c r="C62" s="22"/>
      <c r="D62" s="22"/>
      <c r="E62" s="23"/>
      <c r="F62" s="22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5"/>
    </row>
    <row r="63" spans="1:20" ht="13.95" customHeight="1" x14ac:dyDescent="0.25">
      <c r="A63" s="20" t="s">
        <v>109</v>
      </c>
      <c r="B63" s="21" t="s">
        <v>110</v>
      </c>
      <c r="C63" s="22">
        <v>1</v>
      </c>
      <c r="D63" s="22">
        <v>11</v>
      </c>
      <c r="E63" s="23">
        <f>6836*C63</f>
        <v>6836</v>
      </c>
      <c r="F63" s="22">
        <f>E63*0.25</f>
        <v>1709</v>
      </c>
      <c r="G63" s="23">
        <f t="shared" ref="G63:G125" si="19">E63+F63</f>
        <v>8545</v>
      </c>
      <c r="H63" s="23"/>
      <c r="I63" s="23"/>
      <c r="J63" s="23"/>
      <c r="K63" s="23">
        <f>G63*0.3</f>
        <v>2563.5</v>
      </c>
      <c r="L63" s="41">
        <f>20000-G63-K63</f>
        <v>8891.5</v>
      </c>
      <c r="M63" s="23"/>
      <c r="N63" s="23"/>
      <c r="O63" s="23"/>
      <c r="P63" s="23"/>
      <c r="Q63" s="23"/>
      <c r="R63" s="23">
        <f t="shared" ref="R63:R75" si="20">G63+K63+L63</f>
        <v>20000</v>
      </c>
      <c r="S63" s="25">
        <f>R63*9</f>
        <v>180000</v>
      </c>
    </row>
    <row r="64" spans="1:20" x14ac:dyDescent="0.25">
      <c r="A64" s="20" t="s">
        <v>111</v>
      </c>
      <c r="B64" s="21" t="s">
        <v>112</v>
      </c>
      <c r="C64" s="22">
        <v>1.25</v>
      </c>
      <c r="D64" s="22">
        <v>12</v>
      </c>
      <c r="E64" s="23">
        <f>7356*C64</f>
        <v>9195</v>
      </c>
      <c r="F64" s="22"/>
      <c r="G64" s="23">
        <f t="shared" si="19"/>
        <v>9195</v>
      </c>
      <c r="H64" s="23"/>
      <c r="I64" s="23"/>
      <c r="J64" s="23"/>
      <c r="K64" s="23">
        <f t="shared" ref="K64:K77" si="21">G64*0.3</f>
        <v>2758.5</v>
      </c>
      <c r="L64" s="23">
        <f>20000*C64-G64-K64</f>
        <v>13046.5</v>
      </c>
      <c r="M64" s="23"/>
      <c r="N64" s="23"/>
      <c r="O64" s="23"/>
      <c r="P64" s="23"/>
      <c r="Q64" s="23"/>
      <c r="R64" s="23">
        <f t="shared" si="20"/>
        <v>25000</v>
      </c>
      <c r="S64" s="25">
        <f t="shared" ref="S64:S80" si="22">R64*9</f>
        <v>225000</v>
      </c>
    </row>
    <row r="65" spans="1:20" x14ac:dyDescent="0.25">
      <c r="A65" s="20" t="s">
        <v>113</v>
      </c>
      <c r="B65" s="21" t="s">
        <v>114</v>
      </c>
      <c r="C65" s="22">
        <v>1</v>
      </c>
      <c r="D65" s="22">
        <v>14</v>
      </c>
      <c r="E65" s="23">
        <f>8397*C65</f>
        <v>8397</v>
      </c>
      <c r="F65" s="22"/>
      <c r="G65" s="23">
        <f t="shared" si="19"/>
        <v>8397</v>
      </c>
      <c r="H65" s="23"/>
      <c r="I65" s="23"/>
      <c r="J65" s="23"/>
      <c r="K65" s="23">
        <f t="shared" si="21"/>
        <v>2519.1</v>
      </c>
      <c r="L65" s="41">
        <f>20000-G65-K65</f>
        <v>9083.9</v>
      </c>
      <c r="M65" s="23"/>
      <c r="N65" s="23"/>
      <c r="O65" s="23"/>
      <c r="P65" s="23"/>
      <c r="Q65" s="23"/>
      <c r="R65" s="23">
        <f t="shared" si="20"/>
        <v>20000</v>
      </c>
      <c r="S65" s="25">
        <f t="shared" si="22"/>
        <v>180000</v>
      </c>
    </row>
    <row r="66" spans="1:20" x14ac:dyDescent="0.25">
      <c r="A66" s="20" t="s">
        <v>115</v>
      </c>
      <c r="B66" s="21" t="s">
        <v>116</v>
      </c>
      <c r="C66" s="22">
        <v>0.5</v>
      </c>
      <c r="D66" s="22">
        <v>14</v>
      </c>
      <c r="E66" s="23">
        <f>8397*C66</f>
        <v>4198.5</v>
      </c>
      <c r="F66" s="22"/>
      <c r="G66" s="23">
        <f t="shared" si="19"/>
        <v>4198.5</v>
      </c>
      <c r="H66" s="23"/>
      <c r="I66" s="23"/>
      <c r="J66" s="23"/>
      <c r="K66" s="23">
        <f t="shared" si="21"/>
        <v>1259.55</v>
      </c>
      <c r="L66" s="41">
        <f>20000/2-G66-K66</f>
        <v>4541.95</v>
      </c>
      <c r="M66" s="23"/>
      <c r="N66" s="23"/>
      <c r="O66" s="23"/>
      <c r="P66" s="23"/>
      <c r="Q66" s="23"/>
      <c r="R66" s="23">
        <f t="shared" si="20"/>
        <v>10000</v>
      </c>
      <c r="S66" s="25">
        <f t="shared" si="22"/>
        <v>90000</v>
      </c>
    </row>
    <row r="67" spans="1:20" x14ac:dyDescent="0.25">
      <c r="A67" s="20" t="s">
        <v>117</v>
      </c>
      <c r="B67" s="21" t="s">
        <v>118</v>
      </c>
      <c r="C67" s="22">
        <v>0.25</v>
      </c>
      <c r="D67" s="22">
        <v>14</v>
      </c>
      <c r="E67" s="23">
        <f>8397*C67</f>
        <v>2099.25</v>
      </c>
      <c r="F67" s="22"/>
      <c r="G67" s="23">
        <f t="shared" si="19"/>
        <v>2099.25</v>
      </c>
      <c r="H67" s="23"/>
      <c r="I67" s="23"/>
      <c r="J67" s="23"/>
      <c r="K67" s="23">
        <f t="shared" si="21"/>
        <v>629.77499999999998</v>
      </c>
      <c r="L67" s="41">
        <f>20000*C67-G67-K67</f>
        <v>2270.9749999999999</v>
      </c>
      <c r="M67" s="23"/>
      <c r="N67" s="23"/>
      <c r="O67" s="23"/>
      <c r="P67" s="23"/>
      <c r="Q67" s="23"/>
      <c r="R67" s="23">
        <f t="shared" si="20"/>
        <v>5000</v>
      </c>
      <c r="S67" s="25">
        <f t="shared" si="22"/>
        <v>45000</v>
      </c>
    </row>
    <row r="68" spans="1:20" x14ac:dyDescent="0.25">
      <c r="A68" s="20" t="s">
        <v>119</v>
      </c>
      <c r="B68" s="21" t="s">
        <v>120</v>
      </c>
      <c r="C68" s="22">
        <v>2.25</v>
      </c>
      <c r="D68" s="22">
        <v>13</v>
      </c>
      <c r="E68" s="23">
        <f>7877*C68</f>
        <v>17723.25</v>
      </c>
      <c r="F68" s="22"/>
      <c r="G68" s="23">
        <f t="shared" si="19"/>
        <v>17723.25</v>
      </c>
      <c r="H68" s="23"/>
      <c r="I68" s="23"/>
      <c r="J68" s="23"/>
      <c r="K68" s="23">
        <f t="shared" si="21"/>
        <v>5316.9749999999995</v>
      </c>
      <c r="L68" s="41">
        <f t="shared" ref="L68:L73" si="23">20000*C68-G68-K68-N68</f>
        <v>19981.665000000001</v>
      </c>
      <c r="M68" s="23"/>
      <c r="N68" s="23">
        <f>879.16*C68</f>
        <v>1978.11</v>
      </c>
      <c r="O68" s="23"/>
      <c r="P68" s="23"/>
      <c r="Q68" s="23"/>
      <c r="R68" s="23">
        <f t="shared" ref="R68:R73" si="24">G68+K68+L68+N68</f>
        <v>45000</v>
      </c>
      <c r="S68" s="25">
        <f t="shared" si="22"/>
        <v>405000</v>
      </c>
    </row>
    <row r="69" spans="1:20" ht="11.4" customHeight="1" x14ac:dyDescent="0.25">
      <c r="A69" s="20" t="s">
        <v>119</v>
      </c>
      <c r="B69" s="21" t="s">
        <v>121</v>
      </c>
      <c r="C69" s="22">
        <v>0.5</v>
      </c>
      <c r="D69" s="22">
        <v>14</v>
      </c>
      <c r="E69" s="23">
        <f>8397*C69</f>
        <v>4198.5</v>
      </c>
      <c r="F69" s="22"/>
      <c r="G69" s="23">
        <f t="shared" si="19"/>
        <v>4198.5</v>
      </c>
      <c r="H69" s="23"/>
      <c r="I69" s="23"/>
      <c r="J69" s="23"/>
      <c r="K69" s="23">
        <f t="shared" si="21"/>
        <v>1259.55</v>
      </c>
      <c r="L69" s="41">
        <f t="shared" si="23"/>
        <v>4073.35</v>
      </c>
      <c r="M69" s="23"/>
      <c r="N69" s="23">
        <v>468.6</v>
      </c>
      <c r="O69" s="23"/>
      <c r="P69" s="23"/>
      <c r="Q69" s="23"/>
      <c r="R69" s="23">
        <f t="shared" si="24"/>
        <v>10000</v>
      </c>
      <c r="S69" s="25">
        <f t="shared" si="22"/>
        <v>90000</v>
      </c>
    </row>
    <row r="70" spans="1:20" x14ac:dyDescent="0.25">
      <c r="A70" s="20" t="s">
        <v>119</v>
      </c>
      <c r="B70" s="21" t="s">
        <v>122</v>
      </c>
      <c r="C70" s="22">
        <v>0.25</v>
      </c>
      <c r="D70" s="22">
        <v>14</v>
      </c>
      <c r="E70" s="23">
        <f>8397*C70</f>
        <v>2099.25</v>
      </c>
      <c r="F70" s="22"/>
      <c r="G70" s="23">
        <f t="shared" si="19"/>
        <v>2099.25</v>
      </c>
      <c r="H70" s="23"/>
      <c r="I70" s="23"/>
      <c r="J70" s="23"/>
      <c r="K70" s="23">
        <f t="shared" si="21"/>
        <v>629.77499999999998</v>
      </c>
      <c r="L70" s="41">
        <f t="shared" si="23"/>
        <v>2036.675</v>
      </c>
      <c r="M70" s="23"/>
      <c r="N70" s="23">
        <v>234.3</v>
      </c>
      <c r="O70" s="23"/>
      <c r="P70" s="23"/>
      <c r="Q70" s="23"/>
      <c r="R70" s="23">
        <f t="shared" si="24"/>
        <v>5000</v>
      </c>
      <c r="S70" s="25">
        <f t="shared" si="22"/>
        <v>45000</v>
      </c>
    </row>
    <row r="71" spans="1:20" x14ac:dyDescent="0.25">
      <c r="A71" s="20" t="s">
        <v>119</v>
      </c>
      <c r="B71" s="21" t="s">
        <v>123</v>
      </c>
      <c r="C71" s="22">
        <v>0.75</v>
      </c>
      <c r="D71" s="22">
        <v>14</v>
      </c>
      <c r="E71" s="23">
        <f>8397*C71</f>
        <v>6297.75</v>
      </c>
      <c r="F71" s="22"/>
      <c r="G71" s="23">
        <f t="shared" si="19"/>
        <v>6297.75</v>
      </c>
      <c r="H71" s="23"/>
      <c r="I71" s="23"/>
      <c r="J71" s="23"/>
      <c r="K71" s="23">
        <f t="shared" si="21"/>
        <v>1889.3249999999998</v>
      </c>
      <c r="L71" s="41">
        <f t="shared" si="23"/>
        <v>6578.625</v>
      </c>
      <c r="M71" s="23"/>
      <c r="N71" s="23">
        <v>234.3</v>
      </c>
      <c r="O71" s="23"/>
      <c r="P71" s="23"/>
      <c r="Q71" s="23"/>
      <c r="R71" s="23">
        <f t="shared" si="24"/>
        <v>15000</v>
      </c>
      <c r="S71" s="25">
        <f t="shared" si="22"/>
        <v>135000</v>
      </c>
    </row>
    <row r="72" spans="1:20" x14ac:dyDescent="0.25">
      <c r="A72" s="20" t="s">
        <v>119</v>
      </c>
      <c r="B72" s="21" t="s">
        <v>124</v>
      </c>
      <c r="C72" s="22">
        <v>1</v>
      </c>
      <c r="D72" s="22">
        <v>14</v>
      </c>
      <c r="E72" s="23">
        <f>8397*C72</f>
        <v>8397</v>
      </c>
      <c r="F72" s="22"/>
      <c r="G72" s="23">
        <f t="shared" si="19"/>
        <v>8397</v>
      </c>
      <c r="H72" s="23"/>
      <c r="I72" s="23"/>
      <c r="J72" s="23"/>
      <c r="K72" s="23">
        <f t="shared" si="21"/>
        <v>2519.1</v>
      </c>
      <c r="L72" s="41">
        <f t="shared" si="23"/>
        <v>8146.7</v>
      </c>
      <c r="M72" s="23"/>
      <c r="N72" s="23">
        <v>937.2</v>
      </c>
      <c r="O72" s="23"/>
      <c r="P72" s="23"/>
      <c r="Q72" s="23"/>
      <c r="R72" s="23">
        <f t="shared" si="24"/>
        <v>20000</v>
      </c>
      <c r="S72" s="25">
        <f t="shared" si="22"/>
        <v>180000</v>
      </c>
    </row>
    <row r="73" spans="1:20" x14ac:dyDescent="0.25">
      <c r="A73" s="20" t="s">
        <v>119</v>
      </c>
      <c r="B73" s="21" t="s">
        <v>125</v>
      </c>
      <c r="C73" s="22">
        <v>0.5</v>
      </c>
      <c r="D73" s="22">
        <v>13</v>
      </c>
      <c r="E73" s="23">
        <f>7877*C73</f>
        <v>3938.5</v>
      </c>
      <c r="F73" s="22"/>
      <c r="G73" s="23">
        <f t="shared" si="19"/>
        <v>3938.5</v>
      </c>
      <c r="H73" s="23"/>
      <c r="I73" s="23"/>
      <c r="J73" s="23"/>
      <c r="K73" s="23">
        <f t="shared" si="21"/>
        <v>1181.55</v>
      </c>
      <c r="L73" s="41">
        <f t="shared" si="23"/>
        <v>4440.37</v>
      </c>
      <c r="M73" s="23"/>
      <c r="N73" s="23">
        <f>879.16*C73</f>
        <v>439.58</v>
      </c>
      <c r="O73" s="23"/>
      <c r="P73" s="23"/>
      <c r="Q73" s="23"/>
      <c r="R73" s="23">
        <f t="shared" si="24"/>
        <v>10000</v>
      </c>
      <c r="S73" s="25">
        <f t="shared" si="22"/>
        <v>90000</v>
      </c>
    </row>
    <row r="74" spans="1:20" s="13" customFormat="1" x14ac:dyDescent="0.25">
      <c r="A74" s="20" t="s">
        <v>119</v>
      </c>
      <c r="B74" s="21" t="s">
        <v>126</v>
      </c>
      <c r="C74" s="22">
        <v>0.25</v>
      </c>
      <c r="D74" s="22">
        <v>14</v>
      </c>
      <c r="E74" s="23">
        <f>8397*C74</f>
        <v>2099.25</v>
      </c>
      <c r="F74" s="22"/>
      <c r="G74" s="23">
        <f>E74+F74</f>
        <v>2099.25</v>
      </c>
      <c r="H74" s="23"/>
      <c r="I74" s="23"/>
      <c r="J74" s="23"/>
      <c r="K74" s="23">
        <f t="shared" si="21"/>
        <v>629.77499999999998</v>
      </c>
      <c r="L74" s="23">
        <f>20000*C74-G74-K74</f>
        <v>2270.9749999999999</v>
      </c>
      <c r="M74" s="23"/>
      <c r="N74" s="23">
        <v>234.3</v>
      </c>
      <c r="O74" s="23"/>
      <c r="P74" s="23"/>
      <c r="Q74" s="23"/>
      <c r="R74" s="23">
        <f>G74+K74+L74</f>
        <v>5000</v>
      </c>
      <c r="S74" s="25">
        <f t="shared" si="22"/>
        <v>45000</v>
      </c>
      <c r="T74" s="52"/>
    </row>
    <row r="75" spans="1:20" x14ac:dyDescent="0.25">
      <c r="A75" s="20" t="s">
        <v>127</v>
      </c>
      <c r="B75" s="21" t="s">
        <v>128</v>
      </c>
      <c r="C75" s="22">
        <v>1</v>
      </c>
      <c r="D75" s="22">
        <v>9</v>
      </c>
      <c r="E75" s="23">
        <f>6003*C75</f>
        <v>6003</v>
      </c>
      <c r="F75" s="22">
        <f>E75*0.1</f>
        <v>600.30000000000007</v>
      </c>
      <c r="G75" s="23">
        <f t="shared" si="19"/>
        <v>6603.3</v>
      </c>
      <c r="H75" s="23"/>
      <c r="I75" s="23"/>
      <c r="J75" s="23"/>
      <c r="K75" s="23">
        <f t="shared" si="21"/>
        <v>1980.99</v>
      </c>
      <c r="L75" s="41">
        <v>5596.39</v>
      </c>
      <c r="M75" s="23"/>
      <c r="N75" s="23"/>
      <c r="O75" s="23"/>
      <c r="P75" s="23"/>
      <c r="Q75" s="23"/>
      <c r="R75" s="23">
        <f t="shared" si="20"/>
        <v>14180.68</v>
      </c>
      <c r="S75" s="25">
        <f t="shared" si="22"/>
        <v>127626.12</v>
      </c>
    </row>
    <row r="76" spans="1:20" x14ac:dyDescent="0.25">
      <c r="A76" s="20" t="s">
        <v>129</v>
      </c>
      <c r="B76" s="21" t="s">
        <v>130</v>
      </c>
      <c r="C76" s="22">
        <v>10</v>
      </c>
      <c r="D76" s="22">
        <v>9</v>
      </c>
      <c r="E76" s="23">
        <f>6003*C76</f>
        <v>60030</v>
      </c>
      <c r="F76" s="22"/>
      <c r="G76" s="23">
        <f t="shared" si="19"/>
        <v>60030</v>
      </c>
      <c r="H76" s="23"/>
      <c r="I76" s="23">
        <f t="shared" ref="I76:I78" si="25">G76*0.1</f>
        <v>6003</v>
      </c>
      <c r="J76" s="23"/>
      <c r="K76" s="23">
        <f t="shared" si="21"/>
        <v>18009</v>
      </c>
      <c r="L76" s="41">
        <f>13500*C76-G76-I76-K76-N76</f>
        <v>44258.6</v>
      </c>
      <c r="M76" s="23"/>
      <c r="N76" s="23">
        <f>669.94*C76</f>
        <v>6699.4000000000005</v>
      </c>
      <c r="O76" s="23"/>
      <c r="P76" s="23"/>
      <c r="Q76" s="23"/>
      <c r="R76" s="23">
        <f>G76+I76+K76+L76+N76</f>
        <v>135000</v>
      </c>
      <c r="S76" s="25">
        <f t="shared" si="22"/>
        <v>1215000</v>
      </c>
    </row>
    <row r="77" spans="1:20" x14ac:dyDescent="0.25">
      <c r="A77" s="20" t="s">
        <v>131</v>
      </c>
      <c r="B77" s="21" t="s">
        <v>132</v>
      </c>
      <c r="C77" s="22">
        <v>1</v>
      </c>
      <c r="D77" s="22">
        <v>6</v>
      </c>
      <c r="E77" s="23">
        <f>5032*C77</f>
        <v>5032</v>
      </c>
      <c r="F77" s="22"/>
      <c r="G77" s="23">
        <f t="shared" si="19"/>
        <v>5032</v>
      </c>
      <c r="H77" s="23"/>
      <c r="I77" s="23">
        <f t="shared" si="25"/>
        <v>503.20000000000005</v>
      </c>
      <c r="J77" s="23"/>
      <c r="K77" s="23">
        <f t="shared" si="21"/>
        <v>1509.6</v>
      </c>
      <c r="L77" s="41">
        <f t="shared" ref="L77" si="26">13500-G77-I77-K77</f>
        <v>6455.2000000000007</v>
      </c>
      <c r="M77" s="23"/>
      <c r="N77" s="23"/>
      <c r="O77" s="23"/>
      <c r="P77" s="23"/>
      <c r="Q77" s="23"/>
      <c r="R77" s="23">
        <f t="shared" ref="R77" si="27">G77+I77+K77+L77</f>
        <v>13500</v>
      </c>
      <c r="S77" s="25">
        <f t="shared" si="22"/>
        <v>121500</v>
      </c>
    </row>
    <row r="78" spans="1:20" x14ac:dyDescent="0.25">
      <c r="A78" s="20" t="s">
        <v>133</v>
      </c>
      <c r="B78" s="21" t="s">
        <v>134</v>
      </c>
      <c r="C78" s="22">
        <v>6</v>
      </c>
      <c r="D78" s="22">
        <v>4</v>
      </c>
      <c r="E78" s="23">
        <f>4407*C78</f>
        <v>26442</v>
      </c>
      <c r="F78" s="22"/>
      <c r="G78" s="23">
        <f t="shared" si="19"/>
        <v>26442</v>
      </c>
      <c r="H78" s="23"/>
      <c r="I78" s="23">
        <f t="shared" si="25"/>
        <v>2644.2000000000003</v>
      </c>
      <c r="J78" s="23"/>
      <c r="K78" s="23"/>
      <c r="L78" s="23"/>
      <c r="M78" s="23"/>
      <c r="N78" s="23">
        <f>475.33*C78</f>
        <v>2851.98</v>
      </c>
      <c r="O78" s="23"/>
      <c r="P78" s="23">
        <f>8647*C78-G78</f>
        <v>25440</v>
      </c>
      <c r="Q78" s="23"/>
      <c r="R78" s="23">
        <f>E78+I78+P78+N78</f>
        <v>57378.18</v>
      </c>
      <c r="S78" s="25">
        <f t="shared" si="22"/>
        <v>516403.62</v>
      </c>
    </row>
    <row r="79" spans="1:20" x14ac:dyDescent="0.25">
      <c r="A79" s="20" t="s">
        <v>135</v>
      </c>
      <c r="B79" s="21" t="s">
        <v>136</v>
      </c>
      <c r="C79" s="22">
        <v>1</v>
      </c>
      <c r="D79" s="22">
        <v>3</v>
      </c>
      <c r="E79" s="23">
        <f>4095*C79</f>
        <v>4095</v>
      </c>
      <c r="F79" s="22"/>
      <c r="G79" s="23">
        <f t="shared" si="19"/>
        <v>4095</v>
      </c>
      <c r="H79" s="23"/>
      <c r="I79" s="23"/>
      <c r="J79" s="23"/>
      <c r="K79" s="23"/>
      <c r="L79" s="23"/>
      <c r="M79" s="23"/>
      <c r="N79" s="23"/>
      <c r="O79" s="23"/>
      <c r="P79" s="23">
        <f>8647-G79</f>
        <v>4552</v>
      </c>
      <c r="Q79" s="23"/>
      <c r="R79" s="23">
        <f>G79+P79</f>
        <v>8647</v>
      </c>
      <c r="S79" s="25">
        <f t="shared" si="22"/>
        <v>77823</v>
      </c>
      <c r="T79" s="53"/>
    </row>
    <row r="80" spans="1:20" x14ac:dyDescent="0.25">
      <c r="A80" s="20" t="s">
        <v>137</v>
      </c>
      <c r="B80" s="21" t="s">
        <v>138</v>
      </c>
      <c r="C80" s="22">
        <v>1</v>
      </c>
      <c r="D80" s="22">
        <v>4</v>
      </c>
      <c r="E80" s="23">
        <f>4407*C80</f>
        <v>4407</v>
      </c>
      <c r="F80" s="22"/>
      <c r="G80" s="23">
        <f t="shared" si="19"/>
        <v>4407</v>
      </c>
      <c r="H80" s="23"/>
      <c r="I80" s="23"/>
      <c r="J80" s="23"/>
      <c r="K80" s="23"/>
      <c r="L80" s="23"/>
      <c r="M80" s="23"/>
      <c r="N80" s="23"/>
      <c r="O80" s="23"/>
      <c r="P80" s="23">
        <f>8647-G80</f>
        <v>4240</v>
      </c>
      <c r="Q80" s="23"/>
      <c r="R80" s="23">
        <f>G80+P80</f>
        <v>8647</v>
      </c>
      <c r="S80" s="25">
        <f t="shared" si="22"/>
        <v>77823</v>
      </c>
      <c r="T80" s="53"/>
    </row>
    <row r="81" spans="1:20" s="27" customFormat="1" ht="24.6" customHeight="1" thickBot="1" x14ac:dyDescent="0.3">
      <c r="A81" s="64"/>
      <c r="B81" s="47" t="s">
        <v>59</v>
      </c>
      <c r="C81" s="34">
        <f>SUM(C63:C80)</f>
        <v>29.5</v>
      </c>
      <c r="D81" s="34"/>
      <c r="E81" s="35">
        <f>SUM(E63:E80)</f>
        <v>181488.25</v>
      </c>
      <c r="F81" s="34">
        <f>SUM(F63:F80)</f>
        <v>2309.3000000000002</v>
      </c>
      <c r="G81" s="35">
        <f>SUM(G63:G80)</f>
        <v>183797.55</v>
      </c>
      <c r="H81" s="35"/>
      <c r="I81" s="35">
        <f>SUM(I63:I80)</f>
        <v>9150.4</v>
      </c>
      <c r="J81" s="35"/>
      <c r="K81" s="35">
        <f>SUM(K63:K80)</f>
        <v>44656.064999999995</v>
      </c>
      <c r="L81" s="35">
        <f>SUM(L63:L80)</f>
        <v>141673.375</v>
      </c>
      <c r="M81" s="35"/>
      <c r="N81" s="35">
        <f>SUM(N68:N80)</f>
        <v>14077.77</v>
      </c>
      <c r="O81" s="35"/>
      <c r="P81" s="35">
        <f>SUM(P63:P80)</f>
        <v>34232</v>
      </c>
      <c r="Q81" s="35"/>
      <c r="R81" s="35">
        <f>SUM(R63:R80)</f>
        <v>427352.86</v>
      </c>
      <c r="S81" s="36">
        <f>SUM(S63:S80)</f>
        <v>3846175.74</v>
      </c>
      <c r="T81" s="54"/>
    </row>
    <row r="82" spans="1:20" s="13" customFormat="1" ht="20.399999999999999" customHeight="1" x14ac:dyDescent="0.2">
      <c r="A82" s="18"/>
      <c r="B82" s="55" t="s">
        <v>139</v>
      </c>
      <c r="C82" s="85"/>
      <c r="D82" s="85"/>
      <c r="E82" s="94"/>
      <c r="F82" s="85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110"/>
      <c r="T82" s="52"/>
    </row>
    <row r="83" spans="1:20" s="13" customFormat="1" x14ac:dyDescent="0.25">
      <c r="A83" s="20" t="s">
        <v>140</v>
      </c>
      <c r="B83" s="21" t="s">
        <v>100</v>
      </c>
      <c r="C83" s="22">
        <v>1</v>
      </c>
      <c r="D83" s="22">
        <v>12</v>
      </c>
      <c r="E83" s="23">
        <f>7356*C83</f>
        <v>7356</v>
      </c>
      <c r="F83" s="22">
        <f>E83*0.25</f>
        <v>1839</v>
      </c>
      <c r="G83" s="23">
        <f t="shared" ref="G83:G109" si="28">E83+F83</f>
        <v>9195</v>
      </c>
      <c r="H83" s="23"/>
      <c r="I83" s="23"/>
      <c r="J83" s="23"/>
      <c r="K83" s="23">
        <f>G83*0.3</f>
        <v>2758.5</v>
      </c>
      <c r="L83" s="23">
        <f t="shared" ref="L83" si="29">20000-G83-K83</f>
        <v>8046.5</v>
      </c>
      <c r="M83" s="23"/>
      <c r="N83" s="23"/>
      <c r="O83" s="23"/>
      <c r="P83" s="23"/>
      <c r="Q83" s="23"/>
      <c r="R83" s="23">
        <f t="shared" ref="R83:R85" si="30">G83+K83+L83</f>
        <v>20000</v>
      </c>
      <c r="S83" s="25">
        <f>R83*9</f>
        <v>180000</v>
      </c>
      <c r="T83" s="52"/>
    </row>
    <row r="84" spans="1:20" s="13" customFormat="1" x14ac:dyDescent="0.25">
      <c r="A84" s="20" t="s">
        <v>141</v>
      </c>
      <c r="B84" s="21" t="s">
        <v>142</v>
      </c>
      <c r="C84" s="22">
        <v>1.5</v>
      </c>
      <c r="D84" s="22">
        <v>14</v>
      </c>
      <c r="E84" s="23">
        <f>8397*C84</f>
        <v>12595.5</v>
      </c>
      <c r="F84" s="22"/>
      <c r="G84" s="23">
        <f t="shared" si="28"/>
        <v>12595.5</v>
      </c>
      <c r="H84" s="23"/>
      <c r="I84" s="23"/>
      <c r="J84" s="23"/>
      <c r="K84" s="23">
        <f t="shared" ref="K84:K107" si="31">G84*0.3</f>
        <v>3778.6499999999996</v>
      </c>
      <c r="L84" s="23">
        <f>30000-G84-K84</f>
        <v>13625.85</v>
      </c>
      <c r="M84" s="23"/>
      <c r="N84" s="23"/>
      <c r="O84" s="23"/>
      <c r="P84" s="23"/>
      <c r="Q84" s="23"/>
      <c r="R84" s="23">
        <f t="shared" si="30"/>
        <v>30000</v>
      </c>
      <c r="S84" s="25">
        <f t="shared" ref="S84:S109" si="32">R84*9</f>
        <v>270000</v>
      </c>
      <c r="T84" s="52"/>
    </row>
    <row r="85" spans="1:20" s="13" customFormat="1" x14ac:dyDescent="0.25">
      <c r="A85" s="20" t="s">
        <v>143</v>
      </c>
      <c r="B85" s="21" t="s">
        <v>144</v>
      </c>
      <c r="C85" s="22">
        <v>1</v>
      </c>
      <c r="D85" s="22">
        <v>12</v>
      </c>
      <c r="E85" s="23">
        <f>7356*C85</f>
        <v>7356</v>
      </c>
      <c r="F85" s="23">
        <f>E85*0.15</f>
        <v>1103.3999999999999</v>
      </c>
      <c r="G85" s="23">
        <f t="shared" si="28"/>
        <v>8459.4</v>
      </c>
      <c r="H85" s="23"/>
      <c r="I85" s="23"/>
      <c r="J85" s="23"/>
      <c r="K85" s="23">
        <f t="shared" si="31"/>
        <v>2537.8199999999997</v>
      </c>
      <c r="L85" s="23">
        <f t="shared" ref="L85" si="33">20000-G85-K85</f>
        <v>9002.7800000000007</v>
      </c>
      <c r="M85" s="23"/>
      <c r="N85" s="23"/>
      <c r="O85" s="23"/>
      <c r="P85" s="23"/>
      <c r="Q85" s="23"/>
      <c r="R85" s="23">
        <f t="shared" si="30"/>
        <v>20000</v>
      </c>
      <c r="S85" s="25">
        <f t="shared" si="32"/>
        <v>180000</v>
      </c>
      <c r="T85" s="52"/>
    </row>
    <row r="86" spans="1:20" s="13" customFormat="1" x14ac:dyDescent="0.25">
      <c r="A86" s="20" t="s">
        <v>145</v>
      </c>
      <c r="B86" s="21" t="s">
        <v>146</v>
      </c>
      <c r="C86" s="22">
        <v>1</v>
      </c>
      <c r="D86" s="22">
        <v>11</v>
      </c>
      <c r="E86" s="23">
        <f>6836*C86</f>
        <v>6836</v>
      </c>
      <c r="F86" s="22"/>
      <c r="G86" s="23">
        <f t="shared" si="28"/>
        <v>6836</v>
      </c>
      <c r="H86" s="23"/>
      <c r="I86" s="23"/>
      <c r="J86" s="23"/>
      <c r="K86" s="23">
        <f t="shared" si="31"/>
        <v>2050.7999999999997</v>
      </c>
      <c r="L86" s="23">
        <f>20000-G86-K86</f>
        <v>11113.2</v>
      </c>
      <c r="M86" s="23"/>
      <c r="N86" s="23"/>
      <c r="O86" s="23"/>
      <c r="P86" s="23"/>
      <c r="Q86" s="23"/>
      <c r="R86" s="23">
        <f>G86+K86+L86</f>
        <v>20000</v>
      </c>
      <c r="S86" s="25">
        <f t="shared" si="32"/>
        <v>180000</v>
      </c>
      <c r="T86" s="52"/>
    </row>
    <row r="87" spans="1:20" s="13" customFormat="1" x14ac:dyDescent="0.25">
      <c r="A87" s="20" t="s">
        <v>147</v>
      </c>
      <c r="B87" s="21" t="s">
        <v>148</v>
      </c>
      <c r="C87" s="22">
        <v>1.5</v>
      </c>
      <c r="D87" s="22">
        <v>11</v>
      </c>
      <c r="E87" s="23">
        <f>6836*C87</f>
        <v>10254</v>
      </c>
      <c r="F87" s="22"/>
      <c r="G87" s="23">
        <f t="shared" si="28"/>
        <v>10254</v>
      </c>
      <c r="H87" s="23"/>
      <c r="I87" s="23"/>
      <c r="J87" s="23"/>
      <c r="K87" s="23">
        <f t="shared" si="31"/>
        <v>3076.2</v>
      </c>
      <c r="L87" s="23">
        <f>20000*C87-G87-K87</f>
        <v>16669.8</v>
      </c>
      <c r="M87" s="23"/>
      <c r="N87" s="23"/>
      <c r="O87" s="23"/>
      <c r="P87" s="23"/>
      <c r="Q87" s="23"/>
      <c r="R87" s="23">
        <f t="shared" ref="R87:R101" si="34">G87+K87+L87</f>
        <v>30000</v>
      </c>
      <c r="S87" s="25">
        <f t="shared" si="32"/>
        <v>270000</v>
      </c>
      <c r="T87" s="52"/>
    </row>
    <row r="88" spans="1:20" s="13" customFormat="1" x14ac:dyDescent="0.25">
      <c r="A88" s="20" t="s">
        <v>149</v>
      </c>
      <c r="B88" s="21" t="s">
        <v>150</v>
      </c>
      <c r="C88" s="22">
        <v>0.5</v>
      </c>
      <c r="D88" s="22">
        <v>14</v>
      </c>
      <c r="E88" s="23">
        <f>8397*C88</f>
        <v>4198.5</v>
      </c>
      <c r="F88" s="22"/>
      <c r="G88" s="23">
        <f t="shared" si="28"/>
        <v>4198.5</v>
      </c>
      <c r="H88" s="23"/>
      <c r="I88" s="23"/>
      <c r="J88" s="23"/>
      <c r="K88" s="23">
        <f t="shared" si="31"/>
        <v>1259.55</v>
      </c>
      <c r="L88" s="23">
        <f>20000*C88-G88-K88</f>
        <v>4541.95</v>
      </c>
      <c r="M88" s="23"/>
      <c r="N88" s="23"/>
      <c r="O88" s="23"/>
      <c r="P88" s="23"/>
      <c r="Q88" s="23"/>
      <c r="R88" s="23">
        <f t="shared" si="34"/>
        <v>10000</v>
      </c>
      <c r="S88" s="25">
        <f t="shared" si="32"/>
        <v>90000</v>
      </c>
      <c r="T88" s="52"/>
    </row>
    <row r="89" spans="1:20" s="13" customFormat="1" x14ac:dyDescent="0.25">
      <c r="A89" s="20" t="s">
        <v>151</v>
      </c>
      <c r="B89" s="21" t="s">
        <v>104</v>
      </c>
      <c r="C89" s="22">
        <v>0.5</v>
      </c>
      <c r="D89" s="22">
        <v>11</v>
      </c>
      <c r="E89" s="23">
        <f>6836*C89</f>
        <v>3418</v>
      </c>
      <c r="F89" s="23">
        <f>E89*0.15</f>
        <v>512.69999999999993</v>
      </c>
      <c r="G89" s="23">
        <f t="shared" si="28"/>
        <v>3930.7</v>
      </c>
      <c r="H89" s="23"/>
      <c r="I89" s="23"/>
      <c r="J89" s="23"/>
      <c r="K89" s="23">
        <f t="shared" si="31"/>
        <v>1179.2099999999998</v>
      </c>
      <c r="L89" s="23">
        <f>20000/2-G89-K89</f>
        <v>4890.09</v>
      </c>
      <c r="M89" s="23"/>
      <c r="N89" s="23"/>
      <c r="O89" s="23"/>
      <c r="P89" s="23"/>
      <c r="Q89" s="23"/>
      <c r="R89" s="23">
        <f t="shared" si="34"/>
        <v>10000</v>
      </c>
      <c r="S89" s="25">
        <f t="shared" si="32"/>
        <v>90000</v>
      </c>
      <c r="T89" s="52"/>
    </row>
    <row r="90" spans="1:20" s="13" customFormat="1" x14ac:dyDescent="0.25">
      <c r="A90" s="20" t="s">
        <v>152</v>
      </c>
      <c r="B90" s="21" t="s">
        <v>153</v>
      </c>
      <c r="C90" s="22">
        <v>2</v>
      </c>
      <c r="D90" s="22">
        <v>14</v>
      </c>
      <c r="E90" s="23">
        <f>8397*C90</f>
        <v>16794</v>
      </c>
      <c r="F90" s="23">
        <f>E90*0.15</f>
        <v>2519.1</v>
      </c>
      <c r="G90" s="23">
        <f t="shared" si="28"/>
        <v>19313.099999999999</v>
      </c>
      <c r="H90" s="23"/>
      <c r="I90" s="23"/>
      <c r="J90" s="23"/>
      <c r="K90" s="23">
        <f t="shared" si="31"/>
        <v>5793.9299999999994</v>
      </c>
      <c r="L90" s="23">
        <f>20000*C90-G90-K90</f>
        <v>14892.970000000001</v>
      </c>
      <c r="M90" s="23"/>
      <c r="N90" s="23"/>
      <c r="O90" s="23"/>
      <c r="P90" s="23"/>
      <c r="Q90" s="23"/>
      <c r="R90" s="23">
        <f t="shared" si="34"/>
        <v>40000</v>
      </c>
      <c r="S90" s="25">
        <f t="shared" si="32"/>
        <v>360000</v>
      </c>
      <c r="T90" s="52"/>
    </row>
    <row r="91" spans="1:20" s="13" customFormat="1" x14ac:dyDescent="0.25">
      <c r="A91" s="20" t="s">
        <v>154</v>
      </c>
      <c r="B91" s="21" t="s">
        <v>155</v>
      </c>
      <c r="C91" s="22">
        <v>0.75</v>
      </c>
      <c r="D91" s="22">
        <v>13</v>
      </c>
      <c r="E91" s="23">
        <f>7877*C91</f>
        <v>5907.75</v>
      </c>
      <c r="F91" s="22"/>
      <c r="G91" s="23">
        <f t="shared" si="28"/>
        <v>5907.75</v>
      </c>
      <c r="H91" s="23"/>
      <c r="I91" s="23"/>
      <c r="J91" s="23"/>
      <c r="K91" s="23">
        <f t="shared" si="31"/>
        <v>1772.325</v>
      </c>
      <c r="L91" s="23">
        <f>20000*C91-G91-K91</f>
        <v>7319.9250000000002</v>
      </c>
      <c r="M91" s="23"/>
      <c r="N91" s="23"/>
      <c r="O91" s="23"/>
      <c r="P91" s="23"/>
      <c r="Q91" s="23"/>
      <c r="R91" s="23">
        <f t="shared" si="34"/>
        <v>15000</v>
      </c>
      <c r="S91" s="25">
        <f t="shared" si="32"/>
        <v>135000</v>
      </c>
      <c r="T91" s="52"/>
    </row>
    <row r="92" spans="1:20" s="14" customFormat="1" x14ac:dyDescent="0.25">
      <c r="A92" s="137" t="s">
        <v>156</v>
      </c>
      <c r="B92" s="21" t="s">
        <v>339</v>
      </c>
      <c r="C92" s="22">
        <v>0.5</v>
      </c>
      <c r="D92" s="22">
        <v>11</v>
      </c>
      <c r="E92" s="23">
        <f>6836*C92</f>
        <v>3418</v>
      </c>
      <c r="F92" s="23"/>
      <c r="G92" s="23">
        <f t="shared" si="28"/>
        <v>3418</v>
      </c>
      <c r="H92" s="23"/>
      <c r="I92" s="23"/>
      <c r="J92" s="23"/>
      <c r="K92" s="23">
        <f t="shared" si="31"/>
        <v>1025.3999999999999</v>
      </c>
      <c r="L92" s="23">
        <f>20000*C92-G92-K92</f>
        <v>5556.6</v>
      </c>
      <c r="M92" s="23"/>
      <c r="N92" s="23"/>
      <c r="O92" s="23"/>
      <c r="P92" s="23"/>
      <c r="Q92" s="23"/>
      <c r="R92" s="23">
        <f>G92+K92+L92</f>
        <v>10000</v>
      </c>
      <c r="S92" s="25">
        <f t="shared" si="32"/>
        <v>90000</v>
      </c>
      <c r="T92" s="138"/>
    </row>
    <row r="93" spans="1:20" s="13" customFormat="1" x14ac:dyDescent="0.25">
      <c r="A93" s="20" t="s">
        <v>119</v>
      </c>
      <c r="B93" s="21" t="s">
        <v>158</v>
      </c>
      <c r="C93" s="22">
        <v>0.25</v>
      </c>
      <c r="D93" s="22">
        <v>14</v>
      </c>
      <c r="E93" s="23">
        <f>8397*C93</f>
        <v>2099.25</v>
      </c>
      <c r="F93" s="22"/>
      <c r="G93" s="23">
        <f>E93+F93</f>
        <v>2099.25</v>
      </c>
      <c r="H93" s="23"/>
      <c r="I93" s="23"/>
      <c r="J93" s="23"/>
      <c r="K93" s="23">
        <f t="shared" si="31"/>
        <v>629.77499999999998</v>
      </c>
      <c r="L93" s="23">
        <f>20000*C93-G93-K93</f>
        <v>2270.9749999999999</v>
      </c>
      <c r="M93" s="23"/>
      <c r="N93" s="23"/>
      <c r="O93" s="23"/>
      <c r="P93" s="23"/>
      <c r="Q93" s="23"/>
      <c r="R93" s="23">
        <f>G93+K93+L93</f>
        <v>5000</v>
      </c>
      <c r="S93" s="25">
        <f t="shared" si="32"/>
        <v>45000</v>
      </c>
      <c r="T93" s="52"/>
    </row>
    <row r="94" spans="1:20" s="13" customFormat="1" x14ac:dyDescent="0.25">
      <c r="A94" s="20" t="s">
        <v>159</v>
      </c>
      <c r="B94" s="21" t="s">
        <v>160</v>
      </c>
      <c r="C94" s="22">
        <v>0.5</v>
      </c>
      <c r="D94" s="22">
        <v>14</v>
      </c>
      <c r="E94" s="23">
        <f>8397*C94</f>
        <v>4198.5</v>
      </c>
      <c r="F94" s="22"/>
      <c r="G94" s="23">
        <f t="shared" si="28"/>
        <v>4198.5</v>
      </c>
      <c r="H94" s="23"/>
      <c r="I94" s="23"/>
      <c r="J94" s="23"/>
      <c r="K94" s="23">
        <f t="shared" si="31"/>
        <v>1259.55</v>
      </c>
      <c r="L94" s="23">
        <f>20000/2-G94-K94</f>
        <v>4541.95</v>
      </c>
      <c r="M94" s="23"/>
      <c r="N94" s="23"/>
      <c r="O94" s="23"/>
      <c r="P94" s="23"/>
      <c r="Q94" s="23"/>
      <c r="R94" s="23">
        <f t="shared" si="34"/>
        <v>10000</v>
      </c>
      <c r="S94" s="25">
        <f t="shared" si="32"/>
        <v>90000</v>
      </c>
      <c r="T94" s="52"/>
    </row>
    <row r="95" spans="1:20" s="56" customFormat="1" x14ac:dyDescent="0.25">
      <c r="A95" s="20" t="s">
        <v>163</v>
      </c>
      <c r="B95" s="21" t="s">
        <v>164</v>
      </c>
      <c r="C95" s="22">
        <v>0.25</v>
      </c>
      <c r="D95" s="22">
        <v>14</v>
      </c>
      <c r="E95" s="23">
        <f>8397*C95</f>
        <v>2099.25</v>
      </c>
      <c r="F95" s="22"/>
      <c r="G95" s="23">
        <f t="shared" si="28"/>
        <v>2099.25</v>
      </c>
      <c r="H95" s="23"/>
      <c r="I95" s="23"/>
      <c r="J95" s="23"/>
      <c r="K95" s="23">
        <f t="shared" si="31"/>
        <v>629.77499999999998</v>
      </c>
      <c r="L95" s="23">
        <f>20000*C95-G95-K95</f>
        <v>2270.9749999999999</v>
      </c>
      <c r="M95" s="23"/>
      <c r="N95" s="23"/>
      <c r="O95" s="23"/>
      <c r="P95" s="23"/>
      <c r="Q95" s="23"/>
      <c r="R95" s="23">
        <f t="shared" si="34"/>
        <v>5000</v>
      </c>
      <c r="S95" s="25">
        <f t="shared" si="32"/>
        <v>45000</v>
      </c>
    </row>
    <row r="96" spans="1:20" s="56" customFormat="1" x14ac:dyDescent="0.25">
      <c r="A96" s="20" t="s">
        <v>163</v>
      </c>
      <c r="B96" s="21" t="s">
        <v>332</v>
      </c>
      <c r="C96" s="22">
        <v>0.5</v>
      </c>
      <c r="D96" s="22">
        <v>14</v>
      </c>
      <c r="E96" s="23">
        <f>8397*C96</f>
        <v>4198.5</v>
      </c>
      <c r="F96" s="22"/>
      <c r="G96" s="23">
        <f t="shared" si="28"/>
        <v>4198.5</v>
      </c>
      <c r="H96" s="23"/>
      <c r="I96" s="23"/>
      <c r="J96" s="23"/>
      <c r="K96" s="23">
        <f t="shared" si="31"/>
        <v>1259.55</v>
      </c>
      <c r="L96" s="23">
        <f>20000/2-G96-K96</f>
        <v>4541.95</v>
      </c>
      <c r="M96" s="23"/>
      <c r="N96" s="23"/>
      <c r="O96" s="23"/>
      <c r="P96" s="23"/>
      <c r="Q96" s="23"/>
      <c r="R96" s="23">
        <f t="shared" si="34"/>
        <v>10000</v>
      </c>
      <c r="S96" s="25">
        <f t="shared" si="32"/>
        <v>90000</v>
      </c>
    </row>
    <row r="97" spans="1:20" s="13" customFormat="1" x14ac:dyDescent="0.25">
      <c r="A97" s="20" t="s">
        <v>165</v>
      </c>
      <c r="B97" s="21" t="s">
        <v>166</v>
      </c>
      <c r="C97" s="22">
        <v>1.5</v>
      </c>
      <c r="D97" s="22">
        <v>14</v>
      </c>
      <c r="E97" s="23">
        <f>8397*C97</f>
        <v>12595.5</v>
      </c>
      <c r="F97" s="22"/>
      <c r="G97" s="23">
        <f t="shared" si="28"/>
        <v>12595.5</v>
      </c>
      <c r="H97" s="23"/>
      <c r="I97" s="23"/>
      <c r="J97" s="23"/>
      <c r="K97" s="23">
        <f t="shared" si="31"/>
        <v>3778.6499999999996</v>
      </c>
      <c r="L97" s="23">
        <f>20000*1.5-G97-K97</f>
        <v>13625.85</v>
      </c>
      <c r="M97" s="23"/>
      <c r="N97" s="23"/>
      <c r="O97" s="23"/>
      <c r="P97" s="23"/>
      <c r="Q97" s="23"/>
      <c r="R97" s="23">
        <f t="shared" si="34"/>
        <v>30000</v>
      </c>
      <c r="S97" s="25">
        <f t="shared" si="32"/>
        <v>270000</v>
      </c>
      <c r="T97" s="52"/>
    </row>
    <row r="98" spans="1:20" x14ac:dyDescent="0.25">
      <c r="A98" s="20" t="s">
        <v>167</v>
      </c>
      <c r="B98" s="21" t="s">
        <v>112</v>
      </c>
      <c r="C98" s="22">
        <v>0.75</v>
      </c>
      <c r="D98" s="22">
        <v>10</v>
      </c>
      <c r="E98" s="23">
        <f>6315*C98</f>
        <v>4736.25</v>
      </c>
      <c r="F98" s="22"/>
      <c r="G98" s="23">
        <f t="shared" si="28"/>
        <v>4736.25</v>
      </c>
      <c r="H98" s="23"/>
      <c r="I98" s="23"/>
      <c r="J98" s="23"/>
      <c r="K98" s="23">
        <f t="shared" si="31"/>
        <v>1420.875</v>
      </c>
      <c r="L98" s="23">
        <f>20000*C98-G98-K98</f>
        <v>8842.875</v>
      </c>
      <c r="M98" s="23"/>
      <c r="N98" s="23"/>
      <c r="O98" s="23"/>
      <c r="P98" s="23"/>
      <c r="Q98" s="23"/>
      <c r="R98" s="23">
        <f t="shared" si="34"/>
        <v>15000</v>
      </c>
      <c r="S98" s="25">
        <f t="shared" si="32"/>
        <v>135000</v>
      </c>
      <c r="T98" s="53"/>
    </row>
    <row r="99" spans="1:20" s="13" customFormat="1" x14ac:dyDescent="0.25">
      <c r="A99" s="20" t="s">
        <v>168</v>
      </c>
      <c r="B99" s="21" t="s">
        <v>169</v>
      </c>
      <c r="C99" s="22">
        <v>1.5</v>
      </c>
      <c r="D99" s="22">
        <v>14</v>
      </c>
      <c r="E99" s="23">
        <f>8397*C99</f>
        <v>12595.5</v>
      </c>
      <c r="F99" s="22"/>
      <c r="G99" s="23">
        <f t="shared" si="28"/>
        <v>12595.5</v>
      </c>
      <c r="H99" s="23"/>
      <c r="I99" s="23"/>
      <c r="J99" s="23"/>
      <c r="K99" s="23">
        <f t="shared" si="31"/>
        <v>3778.6499999999996</v>
      </c>
      <c r="L99" s="23">
        <f>20000*C99-G99-K99</f>
        <v>13625.85</v>
      </c>
      <c r="M99" s="23"/>
      <c r="N99" s="23"/>
      <c r="O99" s="23"/>
      <c r="P99" s="23"/>
      <c r="Q99" s="23"/>
      <c r="R99" s="23">
        <f t="shared" si="34"/>
        <v>30000</v>
      </c>
      <c r="S99" s="25">
        <f t="shared" si="32"/>
        <v>270000</v>
      </c>
      <c r="T99" s="52"/>
    </row>
    <row r="100" spans="1:20" x14ac:dyDescent="0.25">
      <c r="A100" s="20" t="s">
        <v>170</v>
      </c>
      <c r="B100" s="21" t="s">
        <v>171</v>
      </c>
      <c r="C100" s="22">
        <v>0.5</v>
      </c>
      <c r="D100" s="22">
        <v>13</v>
      </c>
      <c r="E100" s="23">
        <f>7877*C100</f>
        <v>3938.5</v>
      </c>
      <c r="F100" s="22"/>
      <c r="G100" s="23">
        <f t="shared" si="28"/>
        <v>3938.5</v>
      </c>
      <c r="H100" s="23"/>
      <c r="I100" s="23"/>
      <c r="J100" s="23"/>
      <c r="K100" s="23">
        <f t="shared" si="31"/>
        <v>1181.55</v>
      </c>
      <c r="L100" s="23">
        <f>20000/2-G100-K100</f>
        <v>4879.95</v>
      </c>
      <c r="M100" s="23"/>
      <c r="N100" s="23"/>
      <c r="O100" s="23"/>
      <c r="P100" s="23"/>
      <c r="Q100" s="23"/>
      <c r="R100" s="23">
        <f t="shared" si="34"/>
        <v>10000</v>
      </c>
      <c r="S100" s="25">
        <f t="shared" si="32"/>
        <v>90000</v>
      </c>
      <c r="T100" s="53"/>
    </row>
    <row r="101" spans="1:20" s="14" customFormat="1" x14ac:dyDescent="0.25">
      <c r="A101" s="137" t="s">
        <v>172</v>
      </c>
      <c r="B101" s="21" t="s">
        <v>173</v>
      </c>
      <c r="C101" s="22">
        <v>0.25</v>
      </c>
      <c r="D101" s="22">
        <v>14</v>
      </c>
      <c r="E101" s="23">
        <f>8397*C101</f>
        <v>2099.25</v>
      </c>
      <c r="F101" s="22"/>
      <c r="G101" s="23">
        <f t="shared" si="28"/>
        <v>2099.25</v>
      </c>
      <c r="H101" s="23"/>
      <c r="I101" s="23"/>
      <c r="J101" s="23"/>
      <c r="K101" s="23">
        <f t="shared" si="31"/>
        <v>629.77499999999998</v>
      </c>
      <c r="L101" s="23">
        <f>20000/4-G101-K101</f>
        <v>2270.9749999999999</v>
      </c>
      <c r="M101" s="23"/>
      <c r="N101" s="23"/>
      <c r="O101" s="23"/>
      <c r="P101" s="23"/>
      <c r="Q101" s="23"/>
      <c r="R101" s="23">
        <f t="shared" si="34"/>
        <v>5000</v>
      </c>
      <c r="S101" s="25">
        <f t="shared" si="32"/>
        <v>45000</v>
      </c>
      <c r="T101" s="138"/>
    </row>
    <row r="102" spans="1:20" x14ac:dyDescent="0.25">
      <c r="A102" s="20" t="s">
        <v>174</v>
      </c>
      <c r="B102" s="21" t="s">
        <v>128</v>
      </c>
      <c r="C102" s="22">
        <v>0.5</v>
      </c>
      <c r="D102" s="22">
        <v>9</v>
      </c>
      <c r="E102" s="23">
        <f>6003*C102</f>
        <v>3001.5</v>
      </c>
      <c r="F102" s="22"/>
      <c r="G102" s="23">
        <f t="shared" si="28"/>
        <v>3001.5</v>
      </c>
      <c r="H102" s="23"/>
      <c r="I102" s="23"/>
      <c r="J102" s="23"/>
      <c r="K102" s="23">
        <f t="shared" si="31"/>
        <v>900.44999999999993</v>
      </c>
      <c r="L102" s="23">
        <f>13500*C102-G102-K102</f>
        <v>2848.05</v>
      </c>
      <c r="M102" s="23"/>
      <c r="N102" s="23"/>
      <c r="O102" s="23"/>
      <c r="P102" s="23"/>
      <c r="Q102" s="23"/>
      <c r="R102" s="23">
        <f>G102+K102+L102</f>
        <v>6750</v>
      </c>
      <c r="S102" s="25">
        <f t="shared" si="32"/>
        <v>60750</v>
      </c>
      <c r="T102" s="53"/>
    </row>
    <row r="103" spans="1:20" x14ac:dyDescent="0.25">
      <c r="A103" s="20" t="s">
        <v>175</v>
      </c>
      <c r="B103" s="21" t="s">
        <v>176</v>
      </c>
      <c r="C103" s="22">
        <v>1</v>
      </c>
      <c r="D103" s="22">
        <v>9</v>
      </c>
      <c r="E103" s="23">
        <f>6003*C103</f>
        <v>6003</v>
      </c>
      <c r="F103" s="22">
        <f>E103*0.15</f>
        <v>900.44999999999993</v>
      </c>
      <c r="G103" s="23">
        <f t="shared" si="28"/>
        <v>6903.45</v>
      </c>
      <c r="H103" s="23"/>
      <c r="I103" s="23"/>
      <c r="J103" s="23"/>
      <c r="K103" s="23">
        <f t="shared" si="31"/>
        <v>2071.0349999999999</v>
      </c>
      <c r="L103" s="23">
        <f>13500-G103-K103</f>
        <v>4525.5150000000003</v>
      </c>
      <c r="M103" s="23"/>
      <c r="N103" s="23"/>
      <c r="O103" s="23"/>
      <c r="P103" s="23"/>
      <c r="Q103" s="23"/>
      <c r="R103" s="23">
        <f>G103+K103+L103</f>
        <v>13500</v>
      </c>
      <c r="S103" s="25">
        <f t="shared" si="32"/>
        <v>121500</v>
      </c>
      <c r="T103" s="53"/>
    </row>
    <row r="104" spans="1:20" x14ac:dyDescent="0.25">
      <c r="A104" s="20" t="s">
        <v>177</v>
      </c>
      <c r="B104" s="21" t="s">
        <v>178</v>
      </c>
      <c r="C104" s="22">
        <v>1.5</v>
      </c>
      <c r="D104" s="22">
        <v>7</v>
      </c>
      <c r="E104" s="23">
        <f>5344*C104</f>
        <v>8016</v>
      </c>
      <c r="F104" s="22"/>
      <c r="G104" s="23">
        <f t="shared" si="28"/>
        <v>8016</v>
      </c>
      <c r="H104" s="23"/>
      <c r="I104" s="23">
        <f>G104*0.1</f>
        <v>801.6</v>
      </c>
      <c r="J104" s="23"/>
      <c r="K104" s="23">
        <f t="shared" si="31"/>
        <v>2404.7999999999997</v>
      </c>
      <c r="L104" s="23">
        <f>13500*1.5-G104-I104-K104</f>
        <v>9027.6</v>
      </c>
      <c r="M104" s="23"/>
      <c r="N104" s="23"/>
      <c r="O104" s="23"/>
      <c r="P104" s="23"/>
      <c r="Q104" s="23"/>
      <c r="R104" s="23">
        <f>G104+I104+K104+L104</f>
        <v>20250</v>
      </c>
      <c r="S104" s="25">
        <f t="shared" si="32"/>
        <v>182250</v>
      </c>
      <c r="T104" s="53"/>
    </row>
    <row r="105" spans="1:20" x14ac:dyDescent="0.25">
      <c r="A105" s="20" t="s">
        <v>179</v>
      </c>
      <c r="B105" s="21" t="s">
        <v>91</v>
      </c>
      <c r="C105" s="22">
        <v>5</v>
      </c>
      <c r="D105" s="22">
        <v>9</v>
      </c>
      <c r="E105" s="23">
        <f>6003*C105</f>
        <v>30015</v>
      </c>
      <c r="F105" s="22"/>
      <c r="G105" s="23">
        <f t="shared" si="28"/>
        <v>30015</v>
      </c>
      <c r="H105" s="23"/>
      <c r="I105" s="23"/>
      <c r="J105" s="23"/>
      <c r="K105" s="23">
        <f t="shared" si="31"/>
        <v>9004.5</v>
      </c>
      <c r="L105" s="23">
        <f>13500*C105-G105-K105</f>
        <v>28480.5</v>
      </c>
      <c r="M105" s="23"/>
      <c r="N105" s="23"/>
      <c r="O105" s="23"/>
      <c r="P105" s="23"/>
      <c r="Q105" s="23"/>
      <c r="R105" s="23">
        <f t="shared" ref="R105" si="35">G105+K105+L105</f>
        <v>67500</v>
      </c>
      <c r="S105" s="25">
        <f t="shared" si="32"/>
        <v>607500</v>
      </c>
      <c r="T105" s="53"/>
    </row>
    <row r="106" spans="1:20" x14ac:dyDescent="0.25">
      <c r="A106" s="20" t="s">
        <v>181</v>
      </c>
      <c r="B106" s="21" t="s">
        <v>180</v>
      </c>
      <c r="C106" s="22">
        <v>2</v>
      </c>
      <c r="D106" s="22">
        <v>9</v>
      </c>
      <c r="E106" s="23">
        <f>6003*C106</f>
        <v>12006</v>
      </c>
      <c r="F106" s="22"/>
      <c r="G106" s="23">
        <f t="shared" si="28"/>
        <v>12006</v>
      </c>
      <c r="H106" s="23"/>
      <c r="I106" s="23">
        <f>G106*0.1</f>
        <v>1200.6000000000001</v>
      </c>
      <c r="J106" s="23"/>
      <c r="K106" s="23">
        <f t="shared" si="31"/>
        <v>3601.7999999999997</v>
      </c>
      <c r="L106" s="23">
        <f>13500-G106-K106-I106</f>
        <v>-3308.3999999999996</v>
      </c>
      <c r="M106" s="23"/>
      <c r="N106" s="23"/>
      <c r="O106" s="23"/>
      <c r="P106" s="23"/>
      <c r="Q106" s="23"/>
      <c r="R106" s="23">
        <f>G106+K106+L106+I106</f>
        <v>13500</v>
      </c>
      <c r="S106" s="25">
        <f t="shared" si="32"/>
        <v>121500</v>
      </c>
      <c r="T106" s="53"/>
    </row>
    <row r="107" spans="1:20" x14ac:dyDescent="0.25">
      <c r="A107" s="20" t="s">
        <v>183</v>
      </c>
      <c r="B107" s="21" t="s">
        <v>182</v>
      </c>
      <c r="C107" s="22">
        <v>2</v>
      </c>
      <c r="D107" s="22">
        <v>9</v>
      </c>
      <c r="E107" s="23">
        <f>6003*C107</f>
        <v>12006</v>
      </c>
      <c r="F107" s="22">
        <f>E107*0.15</f>
        <v>1800.8999999999999</v>
      </c>
      <c r="G107" s="23">
        <f t="shared" si="28"/>
        <v>13806.9</v>
      </c>
      <c r="H107" s="23"/>
      <c r="I107" s="23"/>
      <c r="J107" s="23"/>
      <c r="K107" s="23">
        <f t="shared" si="31"/>
        <v>4142.07</v>
      </c>
      <c r="L107" s="23">
        <f>13500*C107-G107-K107</f>
        <v>9051.0300000000007</v>
      </c>
      <c r="M107" s="23"/>
      <c r="N107" s="23"/>
      <c r="O107" s="23"/>
      <c r="P107" s="23"/>
      <c r="Q107" s="23"/>
      <c r="R107" s="23">
        <f t="shared" ref="R107" si="36">G107+K107+L107</f>
        <v>27000</v>
      </c>
      <c r="S107" s="25">
        <f t="shared" si="32"/>
        <v>243000</v>
      </c>
      <c r="T107" s="53"/>
    </row>
    <row r="108" spans="1:20" s="38" customFormat="1" x14ac:dyDescent="0.25">
      <c r="A108" s="20" t="s">
        <v>185</v>
      </c>
      <c r="B108" s="21" t="s">
        <v>184</v>
      </c>
      <c r="C108" s="22">
        <v>0.5</v>
      </c>
      <c r="D108" s="22">
        <v>4</v>
      </c>
      <c r="E108" s="23">
        <f>4407*C108</f>
        <v>2203.5</v>
      </c>
      <c r="F108" s="22"/>
      <c r="G108" s="23">
        <f>E108+F108</f>
        <v>2203.5</v>
      </c>
      <c r="H108" s="23"/>
      <c r="I108" s="23"/>
      <c r="J108" s="23"/>
      <c r="K108" s="23"/>
      <c r="L108" s="23"/>
      <c r="M108" s="23"/>
      <c r="N108" s="23"/>
      <c r="O108" s="23"/>
      <c r="P108" s="23">
        <f>8647/2-G108</f>
        <v>2120</v>
      </c>
      <c r="Q108" s="23"/>
      <c r="R108" s="23">
        <f>G108+I108+P108</f>
        <v>4323.5</v>
      </c>
      <c r="S108" s="25">
        <f t="shared" si="32"/>
        <v>38911.5</v>
      </c>
      <c r="T108" s="46"/>
    </row>
    <row r="109" spans="1:20" x14ac:dyDescent="0.25">
      <c r="A109" s="20" t="s">
        <v>188</v>
      </c>
      <c r="B109" s="21" t="s">
        <v>134</v>
      </c>
      <c r="C109" s="22">
        <v>5</v>
      </c>
      <c r="D109" s="22">
        <v>3</v>
      </c>
      <c r="E109" s="23">
        <f>4095*C109</f>
        <v>20475</v>
      </c>
      <c r="F109" s="22"/>
      <c r="G109" s="23">
        <f t="shared" si="28"/>
        <v>20475</v>
      </c>
      <c r="H109" s="23"/>
      <c r="I109" s="23">
        <f>G109*0.1</f>
        <v>2047.5</v>
      </c>
      <c r="J109" s="23"/>
      <c r="K109" s="23"/>
      <c r="L109" s="23"/>
      <c r="M109" s="23"/>
      <c r="N109" s="23"/>
      <c r="O109" s="23"/>
      <c r="P109" s="23">
        <f>8647*C109-G109</f>
        <v>22760</v>
      </c>
      <c r="Q109" s="23"/>
      <c r="R109" s="23">
        <f>G109+I109+P109</f>
        <v>45282.5</v>
      </c>
      <c r="S109" s="25">
        <f t="shared" si="32"/>
        <v>407542.5</v>
      </c>
      <c r="T109" s="53"/>
    </row>
    <row r="110" spans="1:20" s="27" customFormat="1" ht="23.4" customHeight="1" thickBot="1" x14ac:dyDescent="0.3">
      <c r="A110" s="112"/>
      <c r="B110" s="113" t="s">
        <v>59</v>
      </c>
      <c r="C110" s="114">
        <f>SUM(C83:C109)</f>
        <v>33.75</v>
      </c>
      <c r="D110" s="114"/>
      <c r="E110" s="115">
        <f>SUM(E83:E109)</f>
        <v>220420.25</v>
      </c>
      <c r="F110" s="115">
        <f>SUM(F83:F109)</f>
        <v>8675.5499999999993</v>
      </c>
      <c r="G110" s="115">
        <f>SUM(G83:G109)</f>
        <v>229095.80000000002</v>
      </c>
      <c r="H110" s="115"/>
      <c r="I110" s="115">
        <f>SUM(I83:I109)</f>
        <v>4049.7000000000003</v>
      </c>
      <c r="J110" s="115"/>
      <c r="K110" s="115">
        <f>SUM(K83:K109)</f>
        <v>61925.19000000001</v>
      </c>
      <c r="L110" s="115">
        <f>SUM(L83:L109)</f>
        <v>203155.31000000006</v>
      </c>
      <c r="M110" s="115"/>
      <c r="N110" s="115"/>
      <c r="O110" s="115"/>
      <c r="P110" s="115">
        <f>SUM(P108:P109)</f>
        <v>24880</v>
      </c>
      <c r="Q110" s="115"/>
      <c r="R110" s="115">
        <f>SUM(R83:R109)</f>
        <v>523106</v>
      </c>
      <c r="S110" s="116">
        <f>SUM(S83:S109)</f>
        <v>4707954</v>
      </c>
      <c r="T110" s="54"/>
    </row>
    <row r="111" spans="1:20" ht="16.2" customHeight="1" x14ac:dyDescent="0.25">
      <c r="A111" s="15"/>
      <c r="B111" s="86" t="s">
        <v>187</v>
      </c>
      <c r="C111" s="85"/>
      <c r="D111" s="85"/>
      <c r="E111" s="94"/>
      <c r="F111" s="85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  <c r="R111" s="94"/>
      <c r="S111" s="110"/>
      <c r="T111" s="53"/>
    </row>
    <row r="112" spans="1:20" x14ac:dyDescent="0.25">
      <c r="A112" s="20" t="s">
        <v>190</v>
      </c>
      <c r="B112" s="21" t="s">
        <v>189</v>
      </c>
      <c r="C112" s="22">
        <v>0.75</v>
      </c>
      <c r="D112" s="22">
        <v>10</v>
      </c>
      <c r="E112" s="23">
        <f>6315*C112</f>
        <v>4736.25</v>
      </c>
      <c r="F112" s="22">
        <f>E112*0.15</f>
        <v>710.4375</v>
      </c>
      <c r="G112" s="23">
        <f t="shared" ref="G112:G116" si="37">E112+F112</f>
        <v>5446.6875</v>
      </c>
      <c r="H112" s="23"/>
      <c r="I112" s="23">
        <f>G112*0.1</f>
        <v>544.66875000000005</v>
      </c>
      <c r="J112" s="23"/>
      <c r="K112" s="23">
        <f>G112*0.3</f>
        <v>1634.0062499999999</v>
      </c>
      <c r="L112" s="23">
        <f>20000*C112-G112-I112-K112</f>
        <v>7374.6374999999989</v>
      </c>
      <c r="M112" s="23"/>
      <c r="N112" s="23"/>
      <c r="O112" s="23"/>
      <c r="P112" s="23"/>
      <c r="Q112" s="23"/>
      <c r="R112" s="23">
        <f>G112+I112+K112+L112</f>
        <v>14999.999999999998</v>
      </c>
      <c r="S112" s="25">
        <f>R112*9</f>
        <v>134999.99999999997</v>
      </c>
      <c r="T112" s="53"/>
    </row>
    <row r="113" spans="1:20" x14ac:dyDescent="0.25">
      <c r="A113" s="20" t="s">
        <v>192</v>
      </c>
      <c r="B113" s="21" t="s">
        <v>191</v>
      </c>
      <c r="C113" s="22">
        <v>1</v>
      </c>
      <c r="D113" s="22">
        <v>9</v>
      </c>
      <c r="E113" s="23">
        <f>6003*C113</f>
        <v>6003</v>
      </c>
      <c r="F113" s="22">
        <f>E113*0.15</f>
        <v>900.44999999999993</v>
      </c>
      <c r="G113" s="23">
        <f t="shared" si="37"/>
        <v>6903.45</v>
      </c>
      <c r="H113" s="23"/>
      <c r="I113" s="23"/>
      <c r="J113" s="23"/>
      <c r="K113" s="23">
        <f t="shared" ref="K113:K114" si="38">G113*0.3</f>
        <v>2071.0349999999999</v>
      </c>
      <c r="L113" s="23">
        <f>20000-G113-K113</f>
        <v>11025.514999999999</v>
      </c>
      <c r="M113" s="23"/>
      <c r="N113" s="23"/>
      <c r="O113" s="23"/>
      <c r="P113" s="23"/>
      <c r="Q113" s="23"/>
      <c r="R113" s="23">
        <f>G113+I113+K113+L113</f>
        <v>20000</v>
      </c>
      <c r="S113" s="25">
        <f t="shared" ref="S113:S115" si="39">R113*9</f>
        <v>180000</v>
      </c>
      <c r="T113" s="53"/>
    </row>
    <row r="114" spans="1:20" x14ac:dyDescent="0.25">
      <c r="A114" s="20" t="s">
        <v>194</v>
      </c>
      <c r="B114" s="21" t="s">
        <v>193</v>
      </c>
      <c r="C114" s="22">
        <v>3</v>
      </c>
      <c r="D114" s="22">
        <v>10</v>
      </c>
      <c r="E114" s="23">
        <f>6315*C114</f>
        <v>18945</v>
      </c>
      <c r="F114" s="22">
        <f>E114*0.15</f>
        <v>2841.75</v>
      </c>
      <c r="G114" s="23">
        <f t="shared" si="37"/>
        <v>21786.75</v>
      </c>
      <c r="H114" s="23"/>
      <c r="I114" s="23">
        <f>G114*0.1</f>
        <v>2178.6750000000002</v>
      </c>
      <c r="J114" s="23"/>
      <c r="K114" s="23">
        <f t="shared" si="38"/>
        <v>6536.0249999999996</v>
      </c>
      <c r="L114" s="23">
        <f>13500*C114-G114-I114-K114</f>
        <v>9998.5500000000011</v>
      </c>
      <c r="M114" s="23"/>
      <c r="N114" s="23"/>
      <c r="O114" s="23"/>
      <c r="P114" s="23"/>
      <c r="Q114" s="23"/>
      <c r="R114" s="23">
        <f>G114+I114+K114+L114</f>
        <v>40500</v>
      </c>
      <c r="S114" s="25">
        <f t="shared" si="39"/>
        <v>364500</v>
      </c>
      <c r="T114" s="53"/>
    </row>
    <row r="115" spans="1:20" s="38" customFormat="1" x14ac:dyDescent="0.25">
      <c r="A115" s="20" t="s">
        <v>197</v>
      </c>
      <c r="B115" s="21" t="s">
        <v>186</v>
      </c>
      <c r="C115" s="22">
        <v>1</v>
      </c>
      <c r="D115" s="22">
        <v>3</v>
      </c>
      <c r="E115" s="23">
        <f>4095*C115</f>
        <v>4095</v>
      </c>
      <c r="F115" s="22">
        <f>E115*0.15</f>
        <v>614.25</v>
      </c>
      <c r="G115" s="23">
        <f t="shared" si="37"/>
        <v>4709.25</v>
      </c>
      <c r="H115" s="23"/>
      <c r="I115" s="23">
        <f>G115*0.1</f>
        <v>470.92500000000001</v>
      </c>
      <c r="J115" s="23"/>
      <c r="K115" s="23" t="s">
        <v>195</v>
      </c>
      <c r="L115" s="23"/>
      <c r="M115" s="23"/>
      <c r="N115" s="23"/>
      <c r="O115" s="23"/>
      <c r="P115" s="23">
        <f>8647*C115-E115</f>
        <v>4552</v>
      </c>
      <c r="Q115" s="23"/>
      <c r="R115" s="23">
        <f>G115+I115+P115</f>
        <v>9732.1749999999993</v>
      </c>
      <c r="S115" s="25">
        <f t="shared" si="39"/>
        <v>87589.574999999997</v>
      </c>
      <c r="T115" s="46"/>
    </row>
    <row r="116" spans="1:20" s="27" customFormat="1" ht="25.2" customHeight="1" x14ac:dyDescent="0.25">
      <c r="A116" s="112"/>
      <c r="B116" s="113" t="s">
        <v>59</v>
      </c>
      <c r="C116" s="114">
        <f>C112+C113+C114+C115</f>
        <v>5.75</v>
      </c>
      <c r="D116" s="114"/>
      <c r="E116" s="115">
        <f>SUM(E112:E115)</f>
        <v>33779.25</v>
      </c>
      <c r="F116" s="114">
        <f>SUM(F112:F115)</f>
        <v>5066.8874999999998</v>
      </c>
      <c r="G116" s="115">
        <f t="shared" si="37"/>
        <v>38846.137499999997</v>
      </c>
      <c r="H116" s="115"/>
      <c r="I116" s="115">
        <f>SUM(I112:I115)</f>
        <v>3194.2687500000002</v>
      </c>
      <c r="J116" s="115"/>
      <c r="K116" s="115">
        <f>SUM(K112:K115)</f>
        <v>10241.06625</v>
      </c>
      <c r="L116" s="115">
        <f>SUM(L112:L115)</f>
        <v>28398.702499999999</v>
      </c>
      <c r="M116" s="115"/>
      <c r="N116" s="115"/>
      <c r="O116" s="115"/>
      <c r="P116" s="115">
        <f>SUM(P112:P115)</f>
        <v>4552</v>
      </c>
      <c r="Q116" s="115"/>
      <c r="R116" s="115">
        <f>SUM(R112:R115)</f>
        <v>85232.175000000003</v>
      </c>
      <c r="S116" s="31">
        <f>SUM(S112:S115)</f>
        <v>767089.57499999995</v>
      </c>
      <c r="T116" s="54"/>
    </row>
    <row r="117" spans="1:20" s="27" customFormat="1" ht="21.6" customHeight="1" x14ac:dyDescent="0.25">
      <c r="A117" s="125"/>
      <c r="B117" s="126" t="s">
        <v>326</v>
      </c>
      <c r="C117" s="126"/>
      <c r="D117" s="126"/>
      <c r="E117" s="127"/>
      <c r="F117" s="126"/>
      <c r="G117" s="127"/>
      <c r="H117" s="127"/>
      <c r="I117" s="127"/>
      <c r="J117" s="127"/>
      <c r="K117" s="127"/>
      <c r="L117" s="127"/>
      <c r="M117" s="127"/>
      <c r="N117" s="127"/>
      <c r="O117" s="127"/>
      <c r="P117" s="127"/>
      <c r="Q117" s="127"/>
      <c r="R117" s="127"/>
      <c r="S117" s="25"/>
      <c r="T117" s="54"/>
    </row>
    <row r="118" spans="1:20" s="27" customFormat="1" ht="15" customHeight="1" x14ac:dyDescent="0.25">
      <c r="A118" s="128" t="s">
        <v>198</v>
      </c>
      <c r="B118" s="129" t="s">
        <v>323</v>
      </c>
      <c r="C118" s="130">
        <v>0.25</v>
      </c>
      <c r="D118" s="130">
        <v>10</v>
      </c>
      <c r="E118" s="131">
        <f>6315*C118</f>
        <v>1578.75</v>
      </c>
      <c r="F118" s="130">
        <f>E118*0.15</f>
        <v>236.8125</v>
      </c>
      <c r="G118" s="131">
        <f>E118+F118</f>
        <v>1815.5625</v>
      </c>
      <c r="H118" s="131"/>
      <c r="I118" s="131">
        <f>G118*0.1</f>
        <v>181.55625000000001</v>
      </c>
      <c r="J118" s="131"/>
      <c r="K118" s="131">
        <f>G118*0.3</f>
        <v>544.66874999999993</v>
      </c>
      <c r="L118" s="131">
        <f>20000*C118-G118-I118-K118</f>
        <v>2458.2125000000001</v>
      </c>
      <c r="M118" s="131"/>
      <c r="N118" s="131"/>
      <c r="O118" s="131"/>
      <c r="P118" s="131"/>
      <c r="Q118" s="131"/>
      <c r="R118" s="131">
        <f>L118+K118+I118+G118</f>
        <v>5000</v>
      </c>
      <c r="S118" s="25">
        <f>R118*9</f>
        <v>45000</v>
      </c>
      <c r="T118" s="54"/>
    </row>
    <row r="119" spans="1:20" s="27" customFormat="1" ht="13.2" customHeight="1" x14ac:dyDescent="0.25">
      <c r="A119" s="128" t="s">
        <v>199</v>
      </c>
      <c r="B119" s="129" t="s">
        <v>324</v>
      </c>
      <c r="C119" s="130">
        <v>0.25</v>
      </c>
      <c r="D119" s="130">
        <v>10</v>
      </c>
      <c r="E119" s="131">
        <f>6315*C119</f>
        <v>1578.75</v>
      </c>
      <c r="F119" s="130">
        <f>E119*0.15</f>
        <v>236.8125</v>
      </c>
      <c r="G119" s="131">
        <f>E119+F119</f>
        <v>1815.5625</v>
      </c>
      <c r="H119" s="131"/>
      <c r="I119" s="131">
        <f>G119*0.1</f>
        <v>181.55625000000001</v>
      </c>
      <c r="J119" s="131"/>
      <c r="K119" s="131">
        <f>G119*0.3</f>
        <v>544.66874999999993</v>
      </c>
      <c r="L119" s="131">
        <f>20000*C119-G119-I119-K119</f>
        <v>2458.2125000000001</v>
      </c>
      <c r="M119" s="131"/>
      <c r="N119" s="131"/>
      <c r="O119" s="131"/>
      <c r="P119" s="131"/>
      <c r="Q119" s="131"/>
      <c r="R119" s="131">
        <f t="shared" ref="R119" si="40">L119+K119+I119+G119</f>
        <v>5000</v>
      </c>
      <c r="S119" s="25">
        <f>R119*9</f>
        <v>45000</v>
      </c>
      <c r="T119" s="54"/>
    </row>
    <row r="120" spans="1:20" s="27" customFormat="1" ht="21.6" customHeight="1" x14ac:dyDescent="0.25">
      <c r="A120" s="128"/>
      <c r="B120" s="132" t="s">
        <v>59</v>
      </c>
      <c r="C120" s="126">
        <v>0.5</v>
      </c>
      <c r="D120" s="126"/>
      <c r="E120" s="127">
        <f>SUM(E118:E119)</f>
        <v>3157.5</v>
      </c>
      <c r="F120" s="126">
        <f>SUM(F118:F119)</f>
        <v>473.625</v>
      </c>
      <c r="G120" s="127">
        <f>SUM(G118:G119)</f>
        <v>3631.125</v>
      </c>
      <c r="H120" s="127"/>
      <c r="I120" s="127">
        <f>SUM(I118:I119)</f>
        <v>363.11250000000001</v>
      </c>
      <c r="J120" s="127"/>
      <c r="K120" s="127">
        <f>SUM(K118:K119)</f>
        <v>1089.3374999999999</v>
      </c>
      <c r="L120" s="127">
        <f>SUM(L118:L119)</f>
        <v>4916.4250000000002</v>
      </c>
      <c r="M120" s="127"/>
      <c r="N120" s="127"/>
      <c r="O120" s="127"/>
      <c r="P120" s="127"/>
      <c r="Q120" s="127"/>
      <c r="R120" s="127">
        <f>SUM(R118:R119)</f>
        <v>10000</v>
      </c>
      <c r="S120" s="127">
        <f>SUM(S118:S119)</f>
        <v>90000</v>
      </c>
      <c r="T120" s="54"/>
    </row>
    <row r="121" spans="1:20" ht="23.4" customHeight="1" x14ac:dyDescent="0.25">
      <c r="A121" s="133"/>
      <c r="B121" s="29" t="s">
        <v>327</v>
      </c>
      <c r="C121" s="29"/>
      <c r="D121" s="29"/>
      <c r="E121" s="30"/>
      <c r="F121" s="29"/>
      <c r="G121" s="23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53"/>
    </row>
    <row r="122" spans="1:20" ht="14.4" customHeight="1" x14ac:dyDescent="0.25">
      <c r="A122" s="20" t="s">
        <v>198</v>
      </c>
      <c r="B122" s="21" t="s">
        <v>110</v>
      </c>
      <c r="C122" s="22">
        <v>0.25</v>
      </c>
      <c r="D122" s="22">
        <v>10</v>
      </c>
      <c r="E122" s="23">
        <f>6315*C122</f>
        <v>1578.75</v>
      </c>
      <c r="F122" s="22">
        <f t="shared" ref="F122:F125" si="41">E122*0.15</f>
        <v>236.8125</v>
      </c>
      <c r="G122" s="23">
        <f t="shared" si="19"/>
        <v>1815.5625</v>
      </c>
      <c r="H122" s="23"/>
      <c r="I122" s="23"/>
      <c r="J122" s="23"/>
      <c r="K122" s="23">
        <f>G122*0.3</f>
        <v>544.66874999999993</v>
      </c>
      <c r="L122" s="23">
        <f>20000*C122-G122-K122</f>
        <v>2639.7687500000002</v>
      </c>
      <c r="M122" s="23"/>
      <c r="N122" s="23"/>
      <c r="O122" s="23"/>
      <c r="P122" s="23"/>
      <c r="Q122" s="23"/>
      <c r="R122" s="23">
        <f t="shared" ref="R122:R123" si="42">G122+K122+L122</f>
        <v>5000</v>
      </c>
      <c r="S122" s="25">
        <f>R122*9</f>
        <v>45000</v>
      </c>
      <c r="T122" s="53"/>
    </row>
    <row r="123" spans="1:20" x14ac:dyDescent="0.25">
      <c r="A123" s="20" t="s">
        <v>199</v>
      </c>
      <c r="B123" s="21" t="s">
        <v>104</v>
      </c>
      <c r="C123" s="22">
        <v>0.25</v>
      </c>
      <c r="D123" s="22">
        <v>10</v>
      </c>
      <c r="E123" s="23">
        <f>6315*C123</f>
        <v>1578.75</v>
      </c>
      <c r="F123" s="22">
        <f t="shared" si="41"/>
        <v>236.8125</v>
      </c>
      <c r="G123" s="23">
        <f t="shared" si="19"/>
        <v>1815.5625</v>
      </c>
      <c r="H123" s="23"/>
      <c r="I123" s="23"/>
      <c r="J123" s="23"/>
      <c r="K123" s="23">
        <f t="shared" ref="K123:K124" si="43">G123*0.3</f>
        <v>544.66874999999993</v>
      </c>
      <c r="L123" s="23">
        <f>20000*C123-G123-K123</f>
        <v>2639.7687500000002</v>
      </c>
      <c r="M123" s="23"/>
      <c r="N123" s="23"/>
      <c r="O123" s="23"/>
      <c r="P123" s="23"/>
      <c r="Q123" s="23"/>
      <c r="R123" s="23">
        <f t="shared" si="42"/>
        <v>5000</v>
      </c>
      <c r="S123" s="25">
        <f t="shared" ref="S123:S125" si="44">R123*9</f>
        <v>45000</v>
      </c>
      <c r="T123" s="53"/>
    </row>
    <row r="124" spans="1:20" x14ac:dyDescent="0.25">
      <c r="A124" s="20" t="s">
        <v>200</v>
      </c>
      <c r="B124" s="21" t="s">
        <v>130</v>
      </c>
      <c r="C124" s="22">
        <v>3.5</v>
      </c>
      <c r="D124" s="22">
        <v>9</v>
      </c>
      <c r="E124" s="23">
        <f>6003*C124</f>
        <v>21010.5</v>
      </c>
      <c r="F124" s="22">
        <f t="shared" si="41"/>
        <v>3151.5749999999998</v>
      </c>
      <c r="G124" s="23">
        <f t="shared" si="19"/>
        <v>24162.075000000001</v>
      </c>
      <c r="H124" s="23"/>
      <c r="I124" s="23">
        <f t="shared" ref="I124:I125" si="45">G124*0.1</f>
        <v>2416.2075</v>
      </c>
      <c r="J124" s="23"/>
      <c r="K124" s="23">
        <f t="shared" si="43"/>
        <v>7248.6225000000004</v>
      </c>
      <c r="L124" s="23">
        <f>13500*C124-G124-K124-I124-N124</f>
        <v>11157.194999999998</v>
      </c>
      <c r="M124" s="23"/>
      <c r="N124" s="23">
        <f>647.4*C124</f>
        <v>2265.9</v>
      </c>
      <c r="O124" s="23"/>
      <c r="P124" s="23"/>
      <c r="Q124" s="23"/>
      <c r="R124" s="23">
        <f>G124+K124+L124+I124+N124</f>
        <v>47250</v>
      </c>
      <c r="S124" s="25">
        <f t="shared" si="44"/>
        <v>425250</v>
      </c>
      <c r="T124" s="53"/>
    </row>
    <row r="125" spans="1:20" s="13" customFormat="1" x14ac:dyDescent="0.2">
      <c r="A125" s="28" t="s">
        <v>202</v>
      </c>
      <c r="B125" s="21" t="s">
        <v>134</v>
      </c>
      <c r="C125" s="22">
        <v>2.5</v>
      </c>
      <c r="D125" s="22">
        <v>4</v>
      </c>
      <c r="E125" s="23">
        <f>4407*C125</f>
        <v>11017.5</v>
      </c>
      <c r="F125" s="22">
        <f t="shared" si="41"/>
        <v>1652.625</v>
      </c>
      <c r="G125" s="23">
        <f t="shared" si="19"/>
        <v>12670.125</v>
      </c>
      <c r="H125" s="23"/>
      <c r="I125" s="23">
        <f t="shared" si="45"/>
        <v>1267.0125</v>
      </c>
      <c r="J125" s="23"/>
      <c r="K125" s="23"/>
      <c r="L125" s="23"/>
      <c r="M125" s="23"/>
      <c r="N125" s="23">
        <f>475.33*C125</f>
        <v>1188.325</v>
      </c>
      <c r="O125" s="23"/>
      <c r="P125" s="23">
        <f>8647*C125-E125</f>
        <v>10600</v>
      </c>
      <c r="Q125" s="23"/>
      <c r="R125" s="23">
        <f>G125+I125+P125+N125</f>
        <v>25725.462500000001</v>
      </c>
      <c r="S125" s="25">
        <f t="shared" si="44"/>
        <v>231529.16250000001</v>
      </c>
      <c r="T125" s="52"/>
    </row>
    <row r="126" spans="1:20" s="27" customFormat="1" ht="21.6" customHeight="1" thickBot="1" x14ac:dyDescent="0.3">
      <c r="A126" s="64"/>
      <c r="B126" s="117" t="s">
        <v>59</v>
      </c>
      <c r="C126" s="34">
        <f>SUM(C122:C125)</f>
        <v>6.5</v>
      </c>
      <c r="D126" s="34"/>
      <c r="E126" s="35">
        <f>SUM(E122:E125)</f>
        <v>35185.5</v>
      </c>
      <c r="F126" s="34">
        <f>SUM(F122:F125)</f>
        <v>5277.8249999999998</v>
      </c>
      <c r="G126" s="35">
        <f>SUM(G122:G125)</f>
        <v>40463.324999999997</v>
      </c>
      <c r="H126" s="35"/>
      <c r="I126" s="35">
        <f>SUM(I122:I125)</f>
        <v>3683.2200000000003</v>
      </c>
      <c r="J126" s="35"/>
      <c r="K126" s="35">
        <f>SUM(K122:K125)</f>
        <v>8337.9600000000009</v>
      </c>
      <c r="L126" s="35">
        <f>SUM(L122:L125)</f>
        <v>16436.732499999998</v>
      </c>
      <c r="M126" s="35"/>
      <c r="N126" s="35">
        <f>SUM(N122:N125)</f>
        <v>3454.2250000000004</v>
      </c>
      <c r="O126" s="35"/>
      <c r="P126" s="35">
        <f>SUM(P122:P125)</f>
        <v>10600</v>
      </c>
      <c r="Q126" s="35"/>
      <c r="R126" s="35">
        <f>SUM(R122:R125)</f>
        <v>82975.462499999994</v>
      </c>
      <c r="S126" s="36">
        <f>SUM(S122:S125)</f>
        <v>746779.16249999998</v>
      </c>
      <c r="T126" s="54"/>
    </row>
    <row r="127" spans="1:20" s="56" customFormat="1" ht="27" customHeight="1" x14ac:dyDescent="0.25">
      <c r="A127" s="15"/>
      <c r="B127" s="86" t="s">
        <v>201</v>
      </c>
      <c r="C127" s="85"/>
      <c r="D127" s="85"/>
      <c r="E127" s="94"/>
      <c r="F127" s="85"/>
      <c r="G127" s="94"/>
      <c r="H127" s="94"/>
      <c r="I127" s="94"/>
      <c r="J127" s="94"/>
      <c r="K127" s="94"/>
      <c r="L127" s="94"/>
      <c r="M127" s="94"/>
      <c r="N127" s="94"/>
      <c r="O127" s="94"/>
      <c r="P127" s="94"/>
      <c r="Q127" s="94"/>
      <c r="R127" s="94"/>
      <c r="S127" s="110"/>
      <c r="T127" s="58"/>
    </row>
    <row r="128" spans="1:20" s="13" customFormat="1" x14ac:dyDescent="0.25">
      <c r="A128" s="20" t="s">
        <v>203</v>
      </c>
      <c r="B128" s="59" t="s">
        <v>100</v>
      </c>
      <c r="C128" s="22">
        <v>1</v>
      </c>
      <c r="D128" s="22">
        <v>13</v>
      </c>
      <c r="E128" s="23">
        <f>7877*C128</f>
        <v>7877</v>
      </c>
      <c r="F128" s="22">
        <f>E128*0.2</f>
        <v>1575.4</v>
      </c>
      <c r="G128" s="23">
        <f t="shared" ref="G128:G129" si="46">E128+F128</f>
        <v>9452.4</v>
      </c>
      <c r="H128" s="23"/>
      <c r="I128" s="23"/>
      <c r="J128" s="23"/>
      <c r="K128" s="23">
        <f t="shared" ref="K128:K129" si="47">G128*0.3</f>
        <v>2835.72</v>
      </c>
      <c r="L128" s="23">
        <f t="shared" ref="L128" si="48">20000-G128-K128</f>
        <v>7711.880000000001</v>
      </c>
      <c r="M128" s="23"/>
      <c r="N128" s="23"/>
      <c r="O128" s="23"/>
      <c r="P128" s="23"/>
      <c r="Q128" s="23"/>
      <c r="R128" s="23">
        <f>G128+K128+L128+O128</f>
        <v>20000</v>
      </c>
      <c r="S128" s="25">
        <f>R128*9</f>
        <v>180000</v>
      </c>
      <c r="T128" s="52"/>
    </row>
    <row r="129" spans="1:20" s="38" customFormat="1" x14ac:dyDescent="0.25">
      <c r="A129" s="57" t="s">
        <v>205</v>
      </c>
      <c r="B129" s="21" t="s">
        <v>128</v>
      </c>
      <c r="C129" s="22">
        <v>1</v>
      </c>
      <c r="D129" s="22">
        <v>10</v>
      </c>
      <c r="E129" s="23">
        <f>6315*C129</f>
        <v>6315</v>
      </c>
      <c r="F129" s="22">
        <f>E129*0.1</f>
        <v>631.5</v>
      </c>
      <c r="G129" s="23">
        <f t="shared" si="46"/>
        <v>6946.5</v>
      </c>
      <c r="H129" s="23"/>
      <c r="I129" s="23"/>
      <c r="J129" s="23"/>
      <c r="K129" s="23">
        <f t="shared" si="47"/>
        <v>2083.9499999999998</v>
      </c>
      <c r="L129" s="23">
        <f>13500-G129-K129</f>
        <v>4469.55</v>
      </c>
      <c r="M129" s="23"/>
      <c r="N129" s="23"/>
      <c r="O129" s="23"/>
      <c r="P129" s="23"/>
      <c r="Q129" s="23"/>
      <c r="R129" s="23">
        <f>G129+K129+L129</f>
        <v>13500</v>
      </c>
      <c r="S129" s="25">
        <f t="shared" ref="S129:S138" si="49">R129*9</f>
        <v>121500</v>
      </c>
      <c r="T129" s="46"/>
    </row>
    <row r="130" spans="1:20" x14ac:dyDescent="0.25">
      <c r="A130" s="28"/>
      <c r="B130" s="50"/>
      <c r="C130" s="60"/>
      <c r="D130" s="60"/>
      <c r="E130" s="61"/>
      <c r="F130" s="60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25">
        <f t="shared" si="49"/>
        <v>0</v>
      </c>
      <c r="T130" s="53"/>
    </row>
    <row r="131" spans="1:20" ht="21" customHeight="1" x14ac:dyDescent="0.25">
      <c r="A131" s="20"/>
      <c r="B131" s="63" t="s">
        <v>204</v>
      </c>
      <c r="C131" s="29"/>
      <c r="D131" s="29"/>
      <c r="E131" s="30"/>
      <c r="F131" s="29"/>
      <c r="G131" s="23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25">
        <f t="shared" si="49"/>
        <v>0</v>
      </c>
      <c r="T131" s="53"/>
    </row>
    <row r="132" spans="1:20" ht="11.4" customHeight="1" x14ac:dyDescent="0.25">
      <c r="A132" s="20" t="s">
        <v>207</v>
      </c>
      <c r="B132" s="21" t="s">
        <v>206</v>
      </c>
      <c r="C132" s="22">
        <v>4.5</v>
      </c>
      <c r="D132" s="22">
        <v>14</v>
      </c>
      <c r="E132" s="23">
        <f>8397*C132</f>
        <v>37786.5</v>
      </c>
      <c r="F132" s="22"/>
      <c r="G132" s="23">
        <f t="shared" ref="G132:G138" si="50">E132+F132</f>
        <v>37786.5</v>
      </c>
      <c r="H132" s="23"/>
      <c r="I132" s="23"/>
      <c r="J132" s="23"/>
      <c r="K132" s="23">
        <f t="shared" ref="K132" si="51">G132*0.3</f>
        <v>11335.949999999999</v>
      </c>
      <c r="L132" s="23">
        <f>20000*C132-G132-K132</f>
        <v>40877.550000000003</v>
      </c>
      <c r="M132" s="23"/>
      <c r="N132" s="23"/>
      <c r="O132" s="23"/>
      <c r="P132" s="23"/>
      <c r="Q132" s="23"/>
      <c r="R132" s="23">
        <f>G132+K132+L132+O132</f>
        <v>90000</v>
      </c>
      <c r="S132" s="25">
        <f t="shared" si="49"/>
        <v>810000</v>
      </c>
    </row>
    <row r="133" spans="1:20" x14ac:dyDescent="0.25">
      <c r="A133" s="20" t="s">
        <v>209</v>
      </c>
      <c r="B133" s="21" t="s">
        <v>208</v>
      </c>
      <c r="C133" s="22">
        <v>1</v>
      </c>
      <c r="D133" s="22">
        <v>13</v>
      </c>
      <c r="E133" s="23">
        <f>7877*C133</f>
        <v>7877</v>
      </c>
      <c r="F133" s="22"/>
      <c r="G133" s="23">
        <f t="shared" si="50"/>
        <v>7877</v>
      </c>
      <c r="H133" s="23"/>
      <c r="I133" s="23"/>
      <c r="J133" s="23"/>
      <c r="K133" s="23">
        <f>G133*0.3</f>
        <v>2363.1</v>
      </c>
      <c r="L133" s="23">
        <f>20000-G133-K133</f>
        <v>9759.9</v>
      </c>
      <c r="M133" s="23"/>
      <c r="N133" s="23"/>
      <c r="O133" s="23"/>
      <c r="P133" s="23"/>
      <c r="Q133" s="23"/>
      <c r="R133" s="23">
        <f>G133+K133+L133+O133</f>
        <v>20000</v>
      </c>
      <c r="S133" s="25">
        <f t="shared" si="49"/>
        <v>180000</v>
      </c>
    </row>
    <row r="134" spans="1:20" s="13" customFormat="1" x14ac:dyDescent="0.25">
      <c r="A134" s="20" t="s">
        <v>210</v>
      </c>
      <c r="B134" s="21" t="s">
        <v>112</v>
      </c>
      <c r="C134" s="22">
        <v>1</v>
      </c>
      <c r="D134" s="22">
        <v>12</v>
      </c>
      <c r="E134" s="23">
        <f>7356*C134</f>
        <v>7356</v>
      </c>
      <c r="F134" s="22"/>
      <c r="G134" s="23">
        <f t="shared" si="50"/>
        <v>7356</v>
      </c>
      <c r="H134" s="23"/>
      <c r="I134" s="23"/>
      <c r="J134" s="23"/>
      <c r="K134" s="23">
        <f t="shared" ref="K134:K136" si="52">G134*0.3</f>
        <v>2206.7999999999997</v>
      </c>
      <c r="L134" s="23">
        <f t="shared" ref="L134" si="53">20000-G134-K134</f>
        <v>10437.200000000001</v>
      </c>
      <c r="M134" s="23"/>
      <c r="N134" s="23"/>
      <c r="O134" s="23"/>
      <c r="P134" s="23"/>
      <c r="Q134" s="23"/>
      <c r="R134" s="23">
        <f>G134+K134+L134+O134</f>
        <v>20000</v>
      </c>
      <c r="S134" s="25">
        <f t="shared" si="49"/>
        <v>180000</v>
      </c>
    </row>
    <row r="135" spans="1:20" x14ac:dyDescent="0.25">
      <c r="A135" s="20" t="s">
        <v>213</v>
      </c>
      <c r="B135" s="21" t="s">
        <v>211</v>
      </c>
      <c r="C135" s="22">
        <v>5</v>
      </c>
      <c r="D135" s="22">
        <v>10</v>
      </c>
      <c r="E135" s="23">
        <f>6315*C135</f>
        <v>31575</v>
      </c>
      <c r="F135" s="22"/>
      <c r="G135" s="23">
        <f t="shared" si="50"/>
        <v>31575</v>
      </c>
      <c r="H135" s="23"/>
      <c r="I135" s="23">
        <f>G135*0.1</f>
        <v>3157.5</v>
      </c>
      <c r="J135" s="23"/>
      <c r="K135" s="23">
        <f t="shared" si="52"/>
        <v>9472.5</v>
      </c>
      <c r="L135" s="23">
        <f>13500*C135-G135-I135-K135</f>
        <v>23295</v>
      </c>
      <c r="M135" s="23"/>
      <c r="N135" s="23"/>
      <c r="O135" s="23"/>
      <c r="P135" s="23"/>
      <c r="Q135" s="23"/>
      <c r="R135" s="23">
        <f>G135+I135+K135+L135</f>
        <v>67500</v>
      </c>
      <c r="S135" s="25">
        <f t="shared" si="49"/>
        <v>607500</v>
      </c>
      <c r="T135" s="53"/>
    </row>
    <row r="136" spans="1:20" s="13" customFormat="1" x14ac:dyDescent="0.25">
      <c r="A136" s="20" t="s">
        <v>214</v>
      </c>
      <c r="B136" s="21" t="s">
        <v>91</v>
      </c>
      <c r="C136" s="22">
        <v>1</v>
      </c>
      <c r="D136" s="22">
        <v>10</v>
      </c>
      <c r="E136" s="23">
        <f>6315*C136</f>
        <v>6315</v>
      </c>
      <c r="F136" s="22"/>
      <c r="G136" s="23">
        <f t="shared" si="50"/>
        <v>6315</v>
      </c>
      <c r="H136" s="23"/>
      <c r="I136" s="23"/>
      <c r="J136" s="23"/>
      <c r="K136" s="23">
        <f t="shared" si="52"/>
        <v>1894.5</v>
      </c>
      <c r="L136" s="23">
        <f t="shared" ref="L136:L137" si="54">13500-G136-K136</f>
        <v>5290.5</v>
      </c>
      <c r="M136" s="23"/>
      <c r="N136" s="23"/>
      <c r="O136" s="23"/>
      <c r="P136" s="23"/>
      <c r="Q136" s="23"/>
      <c r="R136" s="23">
        <f t="shared" ref="R136:R137" si="55">G136+K136+L136</f>
        <v>13500</v>
      </c>
      <c r="S136" s="25">
        <f t="shared" si="49"/>
        <v>121500</v>
      </c>
    </row>
    <row r="137" spans="1:20" x14ac:dyDescent="0.25">
      <c r="A137" s="20" t="s">
        <v>216</v>
      </c>
      <c r="B137" s="21" t="s">
        <v>215</v>
      </c>
      <c r="C137" s="22">
        <v>1</v>
      </c>
      <c r="D137" s="22">
        <v>10</v>
      </c>
      <c r="E137" s="23">
        <f>6315*C137</f>
        <v>6315</v>
      </c>
      <c r="F137" s="22"/>
      <c r="G137" s="23">
        <f t="shared" si="50"/>
        <v>6315</v>
      </c>
      <c r="H137" s="23"/>
      <c r="I137" s="23"/>
      <c r="J137" s="23"/>
      <c r="K137" s="23">
        <f>G137*0.3</f>
        <v>1894.5</v>
      </c>
      <c r="L137" s="23">
        <f t="shared" si="54"/>
        <v>5290.5</v>
      </c>
      <c r="M137" s="23"/>
      <c r="N137" s="23"/>
      <c r="O137" s="23"/>
      <c r="P137" s="23"/>
      <c r="Q137" s="23"/>
      <c r="R137" s="23">
        <f t="shared" si="55"/>
        <v>13500</v>
      </c>
      <c r="S137" s="25">
        <f t="shared" si="49"/>
        <v>121500</v>
      </c>
    </row>
    <row r="138" spans="1:20" x14ac:dyDescent="0.25">
      <c r="A138" s="20" t="s">
        <v>218</v>
      </c>
      <c r="B138" s="21" t="s">
        <v>134</v>
      </c>
      <c r="C138" s="22">
        <v>2</v>
      </c>
      <c r="D138" s="22">
        <v>3</v>
      </c>
      <c r="E138" s="23">
        <f>4095*C138</f>
        <v>8190</v>
      </c>
      <c r="F138" s="22"/>
      <c r="G138" s="23">
        <f t="shared" si="50"/>
        <v>8190</v>
      </c>
      <c r="H138" s="23"/>
      <c r="I138" s="23">
        <f>G138*0.1</f>
        <v>819</v>
      </c>
      <c r="J138" s="23"/>
      <c r="K138" s="23"/>
      <c r="L138" s="23"/>
      <c r="M138" s="23"/>
      <c r="N138" s="23"/>
      <c r="O138" s="23"/>
      <c r="P138" s="23">
        <f>8647*C138-G138</f>
        <v>9104</v>
      </c>
      <c r="Q138" s="23"/>
      <c r="R138" s="23">
        <f>SUM(G138:Q138)</f>
        <v>18113</v>
      </c>
      <c r="S138" s="25">
        <f t="shared" si="49"/>
        <v>163017</v>
      </c>
    </row>
    <row r="139" spans="1:20" s="27" customFormat="1" ht="25.8" customHeight="1" thickBot="1" x14ac:dyDescent="0.3">
      <c r="A139" s="64"/>
      <c r="B139" s="47" t="s">
        <v>59</v>
      </c>
      <c r="C139" s="34">
        <f>SUM(C128:C138)</f>
        <v>17.5</v>
      </c>
      <c r="D139" s="34"/>
      <c r="E139" s="35">
        <f>SUM(E128:E138)</f>
        <v>119606.5</v>
      </c>
      <c r="F139" s="34">
        <f>SUM(F128:F138)</f>
        <v>2206.9</v>
      </c>
      <c r="G139" s="35">
        <f>SUM(G128:G138)</f>
        <v>121813.4</v>
      </c>
      <c r="H139" s="35"/>
      <c r="I139" s="35">
        <f>SUM(I128:I138)</f>
        <v>3976.5</v>
      </c>
      <c r="J139" s="35"/>
      <c r="K139" s="35">
        <f>SUM(K128:K138)</f>
        <v>34087.019999999997</v>
      </c>
      <c r="L139" s="35">
        <f>SUM(L128:L138)</f>
        <v>107132.08</v>
      </c>
      <c r="M139" s="35">
        <f>SUM(M138:M138)</f>
        <v>0</v>
      </c>
      <c r="N139" s="35"/>
      <c r="O139" s="35">
        <f>SUM(O133:O138)</f>
        <v>0</v>
      </c>
      <c r="P139" s="35">
        <f>SUM(P138:P138)</f>
        <v>9104</v>
      </c>
      <c r="Q139" s="35"/>
      <c r="R139" s="35">
        <f>SUM(R128:R138)</f>
        <v>276113</v>
      </c>
      <c r="S139" s="36">
        <f>SUM(S128:S138)</f>
        <v>2485017</v>
      </c>
    </row>
    <row r="140" spans="1:20" ht="27.6" customHeight="1" x14ac:dyDescent="0.25">
      <c r="A140" s="15"/>
      <c r="B140" s="55" t="s">
        <v>217</v>
      </c>
      <c r="C140" s="85"/>
      <c r="D140" s="85"/>
      <c r="E140" s="94"/>
      <c r="F140" s="85"/>
      <c r="G140" s="94"/>
      <c r="H140" s="94"/>
      <c r="I140" s="94"/>
      <c r="J140" s="94"/>
      <c r="K140" s="94"/>
      <c r="L140" s="94"/>
      <c r="M140" s="94"/>
      <c r="N140" s="94"/>
      <c r="O140" s="94"/>
      <c r="P140" s="94"/>
      <c r="Q140" s="94"/>
      <c r="R140" s="94"/>
      <c r="S140" s="110"/>
    </row>
    <row r="141" spans="1:20" x14ac:dyDescent="0.25">
      <c r="A141" s="20" t="s">
        <v>221</v>
      </c>
      <c r="B141" s="21" t="s">
        <v>219</v>
      </c>
      <c r="C141" s="22">
        <v>6.5</v>
      </c>
      <c r="D141" s="22">
        <v>10</v>
      </c>
      <c r="E141" s="23">
        <f>6315*C141</f>
        <v>41047.5</v>
      </c>
      <c r="F141" s="22"/>
      <c r="G141" s="23">
        <f t="shared" ref="G141:G142" si="56">E141+F141</f>
        <v>41047.5</v>
      </c>
      <c r="H141" s="23"/>
      <c r="I141" s="23"/>
      <c r="J141" s="23"/>
      <c r="K141" s="23">
        <f t="shared" ref="K141" si="57">G141*0.3</f>
        <v>12314.25</v>
      </c>
      <c r="L141" s="23">
        <f>13500*C141-G141-K141-N141</f>
        <v>29960.904999999999</v>
      </c>
      <c r="M141" s="23"/>
      <c r="N141" s="23">
        <f>681.13*C141</f>
        <v>4427.3450000000003</v>
      </c>
      <c r="O141" s="23"/>
      <c r="P141" s="23"/>
      <c r="Q141" s="23"/>
      <c r="R141" s="23">
        <f t="shared" ref="R141" si="58">G141+K141+L141+N141</f>
        <v>87750</v>
      </c>
      <c r="S141" s="25">
        <f>R141*9</f>
        <v>789750</v>
      </c>
    </row>
    <row r="142" spans="1:20" x14ac:dyDescent="0.25">
      <c r="A142" s="20" t="s">
        <v>223</v>
      </c>
      <c r="B142" s="21" t="s">
        <v>78</v>
      </c>
      <c r="C142" s="22">
        <v>5</v>
      </c>
      <c r="D142" s="22">
        <v>4</v>
      </c>
      <c r="E142" s="23">
        <f>4407*C142</f>
        <v>22035</v>
      </c>
      <c r="F142" s="22"/>
      <c r="G142" s="23">
        <f t="shared" si="56"/>
        <v>22035</v>
      </c>
      <c r="H142" s="23"/>
      <c r="I142" s="23"/>
      <c r="J142" s="23"/>
      <c r="K142" s="23"/>
      <c r="L142" s="23"/>
      <c r="M142" s="23"/>
      <c r="N142" s="23">
        <f>475.33*C142</f>
        <v>2376.65</v>
      </c>
      <c r="O142" s="23"/>
      <c r="P142" s="23">
        <f>8647*C142-G142</f>
        <v>21200</v>
      </c>
      <c r="Q142" s="23"/>
      <c r="R142" s="23">
        <f>E142+P142+N142</f>
        <v>45611.65</v>
      </c>
      <c r="S142" s="25">
        <f>R142*9</f>
        <v>410504.85000000003</v>
      </c>
    </row>
    <row r="143" spans="1:20" s="27" customFormat="1" ht="22.2" customHeight="1" thickBot="1" x14ac:dyDescent="0.3">
      <c r="A143" s="64"/>
      <c r="B143" s="47" t="s">
        <v>59</v>
      </c>
      <c r="C143" s="34">
        <f>SUM(C141:C142)</f>
        <v>11.5</v>
      </c>
      <c r="D143" s="34"/>
      <c r="E143" s="35">
        <f>SUM(E141:E142)</f>
        <v>63082.5</v>
      </c>
      <c r="F143" s="34"/>
      <c r="G143" s="35">
        <f>SUM(G141:G142)</f>
        <v>63082.5</v>
      </c>
      <c r="H143" s="35"/>
      <c r="I143" s="35"/>
      <c r="J143" s="35"/>
      <c r="K143" s="35">
        <f>SUM(K141:K142)</f>
        <v>12314.25</v>
      </c>
      <c r="L143" s="35">
        <f>SUM(L141:L142)</f>
        <v>29960.904999999999</v>
      </c>
      <c r="M143" s="35"/>
      <c r="N143" s="35">
        <f>SUM(N141:N142)</f>
        <v>6803.9950000000008</v>
      </c>
      <c r="O143" s="35"/>
      <c r="P143" s="35">
        <f>SUM(P141:P142)</f>
        <v>21200</v>
      </c>
      <c r="Q143" s="35"/>
      <c r="R143" s="35">
        <f>SUM(R141:R142)</f>
        <v>133361.65</v>
      </c>
      <c r="S143" s="36">
        <f>SUM(S141:S142)</f>
        <v>1200254.8500000001</v>
      </c>
    </row>
    <row r="144" spans="1:20" ht="29.4" customHeight="1" x14ac:dyDescent="0.25">
      <c r="A144" s="15"/>
      <c r="B144" s="55" t="s">
        <v>222</v>
      </c>
      <c r="C144" s="85"/>
      <c r="D144" s="85"/>
      <c r="E144" s="94"/>
      <c r="F144" s="85"/>
      <c r="G144" s="94"/>
      <c r="H144" s="94"/>
      <c r="I144" s="94"/>
      <c r="J144" s="94"/>
      <c r="K144" s="94"/>
      <c r="L144" s="94"/>
      <c r="M144" s="94"/>
      <c r="N144" s="94"/>
      <c r="O144" s="94"/>
      <c r="P144" s="94"/>
      <c r="Q144" s="94"/>
      <c r="R144" s="94"/>
      <c r="S144" s="110"/>
    </row>
    <row r="145" spans="1:20" x14ac:dyDescent="0.25">
      <c r="A145" s="20" t="s">
        <v>224</v>
      </c>
      <c r="B145" s="21" t="s">
        <v>206</v>
      </c>
      <c r="C145" s="22">
        <v>1</v>
      </c>
      <c r="D145" s="22">
        <v>12</v>
      </c>
      <c r="E145" s="23">
        <f>7356*C145</f>
        <v>7356</v>
      </c>
      <c r="F145" s="22">
        <f>E145*0.1</f>
        <v>735.6</v>
      </c>
      <c r="G145" s="23">
        <f t="shared" ref="G145:G150" si="59">E145+F145</f>
        <v>8091.6</v>
      </c>
      <c r="H145" s="23"/>
      <c r="I145" s="23"/>
      <c r="J145" s="23"/>
      <c r="K145" s="23">
        <f>G145*0.3</f>
        <v>2427.48</v>
      </c>
      <c r="L145" s="23">
        <f>20000*C145-G145-K145</f>
        <v>9480.92</v>
      </c>
      <c r="M145" s="23"/>
      <c r="N145" s="23"/>
      <c r="O145" s="23"/>
      <c r="P145" s="23"/>
      <c r="Q145" s="23"/>
      <c r="R145" s="23">
        <f>G145+K145+L145</f>
        <v>20000</v>
      </c>
      <c r="S145" s="25">
        <f>R145*9</f>
        <v>180000</v>
      </c>
    </row>
    <row r="146" spans="1:20" x14ac:dyDescent="0.25">
      <c r="A146" s="20" t="s">
        <v>225</v>
      </c>
      <c r="B146" s="21" t="s">
        <v>91</v>
      </c>
      <c r="C146" s="22">
        <v>1</v>
      </c>
      <c r="D146" s="22">
        <v>7</v>
      </c>
      <c r="E146" s="23">
        <f>5344*C146</f>
        <v>5344</v>
      </c>
      <c r="F146" s="22"/>
      <c r="G146" s="23">
        <f t="shared" si="59"/>
        <v>5344</v>
      </c>
      <c r="H146" s="23"/>
      <c r="I146" s="23"/>
      <c r="J146" s="23"/>
      <c r="K146" s="23">
        <f>G146*0.3</f>
        <v>1603.2</v>
      </c>
      <c r="L146" s="23">
        <f>13500-G146-K146</f>
        <v>6552.8</v>
      </c>
      <c r="M146" s="23"/>
      <c r="N146" s="23"/>
      <c r="O146" s="23"/>
      <c r="P146" s="23"/>
      <c r="Q146" s="23"/>
      <c r="R146" s="23">
        <f>G146+K146+L146</f>
        <v>13500</v>
      </c>
      <c r="S146" s="25">
        <f t="shared" ref="S146:S147" si="60">R146*9</f>
        <v>121500</v>
      </c>
    </row>
    <row r="147" spans="1:20" x14ac:dyDescent="0.25">
      <c r="A147" s="20" t="s">
        <v>226</v>
      </c>
      <c r="B147" s="21" t="s">
        <v>134</v>
      </c>
      <c r="C147" s="22">
        <v>1</v>
      </c>
      <c r="D147" s="22">
        <v>3</v>
      </c>
      <c r="E147" s="23">
        <f>4095*C147</f>
        <v>4095</v>
      </c>
      <c r="F147" s="22"/>
      <c r="G147" s="23">
        <f t="shared" si="59"/>
        <v>4095</v>
      </c>
      <c r="H147" s="23"/>
      <c r="I147" s="23">
        <f>G147*0.1</f>
        <v>409.5</v>
      </c>
      <c r="J147" s="23"/>
      <c r="K147" s="23"/>
      <c r="L147" s="23"/>
      <c r="M147" s="23"/>
      <c r="N147" s="23"/>
      <c r="O147" s="23"/>
      <c r="P147" s="23">
        <f>8647-G147</f>
        <v>4552</v>
      </c>
      <c r="Q147" s="23"/>
      <c r="R147" s="23">
        <f>SUM(G147:Q147)</f>
        <v>9056.5</v>
      </c>
      <c r="S147" s="25">
        <f t="shared" si="60"/>
        <v>81508.5</v>
      </c>
    </row>
    <row r="148" spans="1:20" x14ac:dyDescent="0.25">
      <c r="A148" s="20" t="s">
        <v>228</v>
      </c>
      <c r="B148" s="21" t="s">
        <v>227</v>
      </c>
      <c r="C148" s="22">
        <v>1.75</v>
      </c>
      <c r="D148" s="22">
        <v>1</v>
      </c>
      <c r="E148" s="23">
        <f>3470*C148</f>
        <v>6072.5</v>
      </c>
      <c r="F148" s="22"/>
      <c r="G148" s="23">
        <f t="shared" si="59"/>
        <v>6072.5</v>
      </c>
      <c r="H148" s="23"/>
      <c r="I148" s="23"/>
      <c r="J148" s="23"/>
      <c r="K148" s="23"/>
      <c r="L148" s="23"/>
      <c r="M148" s="23"/>
      <c r="N148" s="23"/>
      <c r="O148" s="23"/>
      <c r="P148" s="23">
        <f>8647*C148-G148</f>
        <v>9059.75</v>
      </c>
      <c r="Q148" s="23"/>
      <c r="R148" s="23">
        <f>SUM(G148:Q148)</f>
        <v>15132.25</v>
      </c>
      <c r="S148" s="25">
        <f>R148*3</f>
        <v>45396.75</v>
      </c>
    </row>
    <row r="149" spans="1:20" s="38" customFormat="1" x14ac:dyDescent="0.25">
      <c r="A149" s="20" t="s">
        <v>231</v>
      </c>
      <c r="B149" s="21" t="s">
        <v>229</v>
      </c>
      <c r="C149" s="22">
        <v>0.5</v>
      </c>
      <c r="D149" s="22">
        <v>1</v>
      </c>
      <c r="E149" s="23">
        <f>3470*C149</f>
        <v>1735</v>
      </c>
      <c r="F149" s="22"/>
      <c r="G149" s="23">
        <f t="shared" si="59"/>
        <v>1735</v>
      </c>
      <c r="H149" s="23"/>
      <c r="I149" s="23"/>
      <c r="J149" s="23"/>
      <c r="K149" s="23"/>
      <c r="L149" s="23"/>
      <c r="M149" s="23"/>
      <c r="N149" s="23"/>
      <c r="O149" s="23"/>
      <c r="P149" s="23">
        <f>4323.5-G149</f>
        <v>2588.5</v>
      </c>
      <c r="Q149" s="23"/>
      <c r="R149" s="23">
        <f>SUM(G149:Q149)</f>
        <v>4323.5</v>
      </c>
      <c r="S149" s="25">
        <f>R149*9</f>
        <v>38911.5</v>
      </c>
    </row>
    <row r="150" spans="1:20" s="27" customFormat="1" ht="27" customHeight="1" thickBot="1" x14ac:dyDescent="0.3">
      <c r="A150" s="64"/>
      <c r="B150" s="47" t="s">
        <v>59</v>
      </c>
      <c r="C150" s="34">
        <f>SUM(C145:C149)</f>
        <v>5.25</v>
      </c>
      <c r="D150" s="34"/>
      <c r="E150" s="35">
        <f>SUM(E145:E149)</f>
        <v>24602.5</v>
      </c>
      <c r="F150" s="34">
        <f>SUM(F145:F149)</f>
        <v>735.6</v>
      </c>
      <c r="G150" s="35">
        <f t="shared" si="59"/>
        <v>25338.1</v>
      </c>
      <c r="H150" s="35"/>
      <c r="I150" s="35">
        <f>SUM(I147:I149)</f>
        <v>409.5</v>
      </c>
      <c r="J150" s="35"/>
      <c r="K150" s="35">
        <f>SUM(K145:K149)</f>
        <v>4030.6800000000003</v>
      </c>
      <c r="L150" s="35">
        <f>SUM(L145:L149)</f>
        <v>16033.720000000001</v>
      </c>
      <c r="M150" s="35"/>
      <c r="N150" s="35"/>
      <c r="O150" s="35"/>
      <c r="P150" s="35">
        <f>SUM(P145:P149)</f>
        <v>16200.25</v>
      </c>
      <c r="Q150" s="35"/>
      <c r="R150" s="35">
        <f>SUM(R145:R149)</f>
        <v>62012.25</v>
      </c>
      <c r="S150" s="36">
        <f>SUM(S145:S149)</f>
        <v>467316.75</v>
      </c>
    </row>
    <row r="151" spans="1:20" ht="23.4" customHeight="1" x14ac:dyDescent="0.25">
      <c r="A151" s="15"/>
      <c r="B151" s="55" t="s">
        <v>230</v>
      </c>
      <c r="C151" s="85"/>
      <c r="D151" s="85"/>
      <c r="E151" s="94"/>
      <c r="F151" s="85"/>
      <c r="G151" s="94"/>
      <c r="H151" s="94"/>
      <c r="I151" s="94"/>
      <c r="J151" s="94"/>
      <c r="K151" s="94"/>
      <c r="L151" s="94"/>
      <c r="M151" s="94"/>
      <c r="N151" s="94"/>
      <c r="O151" s="94"/>
      <c r="P151" s="94"/>
      <c r="Q151" s="94"/>
      <c r="R151" s="94"/>
      <c r="S151" s="110"/>
    </row>
    <row r="152" spans="1:20" x14ac:dyDescent="0.25">
      <c r="A152" s="20" t="s">
        <v>233</v>
      </c>
      <c r="B152" s="21" t="s">
        <v>232</v>
      </c>
      <c r="C152" s="22">
        <v>1.25</v>
      </c>
      <c r="D152" s="22">
        <v>13</v>
      </c>
      <c r="E152" s="23">
        <f>7877*C152</f>
        <v>9846.25</v>
      </c>
      <c r="F152" s="22">
        <f>E152*0.1</f>
        <v>984.625</v>
      </c>
      <c r="G152" s="23">
        <f t="shared" ref="G152:G156" si="61">E152+F152</f>
        <v>10830.875</v>
      </c>
      <c r="H152" s="23"/>
      <c r="I152" s="23"/>
      <c r="J152" s="23"/>
      <c r="K152" s="23">
        <f>G152*0.3</f>
        <v>3249.2624999999998</v>
      </c>
      <c r="L152" s="23">
        <f>20000*C152-G152-K152</f>
        <v>10919.862499999999</v>
      </c>
      <c r="M152" s="23"/>
      <c r="N152" s="23"/>
      <c r="O152" s="23"/>
      <c r="P152" s="23"/>
      <c r="Q152" s="23"/>
      <c r="R152" s="23">
        <f>G152+K152+L152+O152</f>
        <v>25000</v>
      </c>
      <c r="S152" s="25">
        <f>R152*9</f>
        <v>225000</v>
      </c>
    </row>
    <row r="153" spans="1:20" x14ac:dyDescent="0.25">
      <c r="A153" s="20" t="s">
        <v>234</v>
      </c>
      <c r="B153" s="21" t="s">
        <v>212</v>
      </c>
      <c r="C153" s="22">
        <v>2</v>
      </c>
      <c r="D153" s="22">
        <v>10</v>
      </c>
      <c r="E153" s="23">
        <f>6315*C153</f>
        <v>12630</v>
      </c>
      <c r="F153" s="22"/>
      <c r="G153" s="23">
        <f t="shared" si="61"/>
        <v>12630</v>
      </c>
      <c r="H153" s="23"/>
      <c r="I153" s="23"/>
      <c r="J153" s="23"/>
      <c r="K153" s="23">
        <f t="shared" ref="K153:K154" si="62">G153*0.3</f>
        <v>3789</v>
      </c>
      <c r="L153" s="23">
        <f>13500*C153-G153-K153</f>
        <v>10581</v>
      </c>
      <c r="M153" s="23"/>
      <c r="N153" s="23"/>
      <c r="O153" s="23"/>
      <c r="P153" s="23"/>
      <c r="Q153" s="23"/>
      <c r="R153" s="23">
        <f>G153+K153+L153</f>
        <v>27000</v>
      </c>
      <c r="S153" s="25">
        <f t="shared" ref="S153:S155" si="63">R153*9</f>
        <v>243000</v>
      </c>
    </row>
    <row r="154" spans="1:20" s="13" customFormat="1" x14ac:dyDescent="0.25">
      <c r="A154" s="20" t="s">
        <v>236</v>
      </c>
      <c r="B154" s="21" t="s">
        <v>235</v>
      </c>
      <c r="C154" s="22">
        <v>1</v>
      </c>
      <c r="D154" s="22">
        <v>7</v>
      </c>
      <c r="E154" s="23">
        <f>5344*C154</f>
        <v>5344</v>
      </c>
      <c r="F154" s="22"/>
      <c r="G154" s="23">
        <f t="shared" si="61"/>
        <v>5344</v>
      </c>
      <c r="H154" s="23"/>
      <c r="I154" s="23"/>
      <c r="J154" s="23"/>
      <c r="K154" s="23">
        <f t="shared" si="62"/>
        <v>1603.2</v>
      </c>
      <c r="L154" s="23">
        <f>13500-G154-K154</f>
        <v>6552.8</v>
      </c>
      <c r="M154" s="23"/>
      <c r="N154" s="23"/>
      <c r="O154" s="23"/>
      <c r="P154" s="23"/>
      <c r="Q154" s="23"/>
      <c r="R154" s="23">
        <f>G154+L154+K154</f>
        <v>13500</v>
      </c>
      <c r="S154" s="25">
        <f t="shared" si="63"/>
        <v>121500</v>
      </c>
    </row>
    <row r="155" spans="1:20" s="38" customFormat="1" x14ac:dyDescent="0.25">
      <c r="A155" s="20" t="s">
        <v>238</v>
      </c>
      <c r="B155" s="21" t="s">
        <v>134</v>
      </c>
      <c r="C155" s="22">
        <v>1</v>
      </c>
      <c r="D155" s="22">
        <v>3</v>
      </c>
      <c r="E155" s="23">
        <f>4095*C155</f>
        <v>4095</v>
      </c>
      <c r="F155" s="22"/>
      <c r="G155" s="23">
        <f t="shared" si="61"/>
        <v>4095</v>
      </c>
      <c r="H155" s="23"/>
      <c r="I155" s="23">
        <f>G155*0.1</f>
        <v>409.5</v>
      </c>
      <c r="J155" s="23"/>
      <c r="K155" s="23"/>
      <c r="L155" s="23"/>
      <c r="M155" s="23"/>
      <c r="N155" s="23"/>
      <c r="O155" s="23"/>
      <c r="P155" s="23">
        <f>8647-G155</f>
        <v>4552</v>
      </c>
      <c r="Q155" s="23"/>
      <c r="R155" s="23">
        <f>G155+I155+P155</f>
        <v>9056.5</v>
      </c>
      <c r="S155" s="25">
        <f t="shared" si="63"/>
        <v>81508.5</v>
      </c>
      <c r="T155" s="46"/>
    </row>
    <row r="156" spans="1:20" s="27" customFormat="1" ht="27" customHeight="1" thickBot="1" x14ac:dyDescent="0.3">
      <c r="A156" s="64"/>
      <c r="B156" s="47" t="s">
        <v>59</v>
      </c>
      <c r="C156" s="34">
        <f>SUM(C152:C155)</f>
        <v>5.25</v>
      </c>
      <c r="D156" s="34"/>
      <c r="E156" s="35">
        <f>SUM(E152:E155)</f>
        <v>31915.25</v>
      </c>
      <c r="F156" s="34">
        <f>SUM(F152:F155)</f>
        <v>984.625</v>
      </c>
      <c r="G156" s="35">
        <f t="shared" si="61"/>
        <v>32899.875</v>
      </c>
      <c r="H156" s="35"/>
      <c r="I156" s="35">
        <f>SUM(I155)</f>
        <v>409.5</v>
      </c>
      <c r="J156" s="35"/>
      <c r="K156" s="35">
        <f>SUM(K152:K155)</f>
        <v>8641.4624999999996</v>
      </c>
      <c r="L156" s="35">
        <f>SUM(L152:L155)</f>
        <v>28053.662499999999</v>
      </c>
      <c r="M156" s="35">
        <f>SUM(M152:M154)</f>
        <v>0</v>
      </c>
      <c r="N156" s="35"/>
      <c r="O156" s="35">
        <f>SUM(O152:O155)</f>
        <v>0</v>
      </c>
      <c r="P156" s="35">
        <f>SUM(P155)</f>
        <v>4552</v>
      </c>
      <c r="Q156" s="35"/>
      <c r="R156" s="35">
        <f>SUM(R152:R155)</f>
        <v>74556.5</v>
      </c>
      <c r="S156" s="36">
        <f>SUM(S152:S155)</f>
        <v>671008.5</v>
      </c>
    </row>
    <row r="157" spans="1:20" ht="17.399999999999999" customHeight="1" x14ac:dyDescent="0.25">
      <c r="A157" s="15"/>
      <c r="B157" s="55" t="s">
        <v>237</v>
      </c>
      <c r="C157" s="85"/>
      <c r="D157" s="85"/>
      <c r="E157" s="94"/>
      <c r="F157" s="85"/>
      <c r="G157" s="94"/>
      <c r="H157" s="94"/>
      <c r="I157" s="94"/>
      <c r="J157" s="94"/>
      <c r="K157" s="94"/>
      <c r="L157" s="94"/>
      <c r="M157" s="94"/>
      <c r="N157" s="94"/>
      <c r="O157" s="94"/>
      <c r="P157" s="94"/>
      <c r="Q157" s="94"/>
      <c r="R157" s="94"/>
      <c r="S157" s="110"/>
    </row>
    <row r="158" spans="1:20" x14ac:dyDescent="0.25">
      <c r="A158" s="20" t="s">
        <v>239</v>
      </c>
      <c r="B158" s="21" t="s">
        <v>206</v>
      </c>
      <c r="C158" s="22">
        <v>2.25</v>
      </c>
      <c r="D158" s="22">
        <v>11</v>
      </c>
      <c r="E158" s="23">
        <f>6836*C158</f>
        <v>15381</v>
      </c>
      <c r="F158" s="22">
        <f>E158*0.1</f>
        <v>1538.1000000000001</v>
      </c>
      <c r="G158" s="23">
        <f t="shared" ref="G158:G163" si="64">E158+F158</f>
        <v>16919.099999999999</v>
      </c>
      <c r="H158" s="23"/>
      <c r="I158" s="23"/>
      <c r="J158" s="23"/>
      <c r="K158" s="23">
        <f>G158*0.3</f>
        <v>5075.7299999999996</v>
      </c>
      <c r="L158" s="23">
        <f>20000*C158-G158-K158</f>
        <v>23005.170000000002</v>
      </c>
      <c r="M158" s="23"/>
      <c r="N158" s="23"/>
      <c r="O158" s="23"/>
      <c r="P158" s="23"/>
      <c r="Q158" s="23"/>
      <c r="R158" s="23">
        <f>SUM(G158:Q158)</f>
        <v>45000</v>
      </c>
      <c r="S158" s="25">
        <f>R158*9</f>
        <v>405000</v>
      </c>
    </row>
    <row r="159" spans="1:20" x14ac:dyDescent="0.25">
      <c r="A159" s="20" t="s">
        <v>240</v>
      </c>
      <c r="B159" s="21" t="s">
        <v>241</v>
      </c>
      <c r="C159" s="22">
        <v>2</v>
      </c>
      <c r="D159" s="22">
        <v>10</v>
      </c>
      <c r="E159" s="23">
        <f>6315*C159</f>
        <v>12630</v>
      </c>
      <c r="F159" s="22"/>
      <c r="G159" s="23">
        <f t="shared" si="64"/>
        <v>12630</v>
      </c>
      <c r="H159" s="23"/>
      <c r="I159" s="23"/>
      <c r="J159" s="23"/>
      <c r="K159" s="23">
        <f t="shared" ref="K159:K160" si="65">G159*0.3</f>
        <v>3789</v>
      </c>
      <c r="L159" s="23">
        <f>13500*C159-G159-K159</f>
        <v>10581</v>
      </c>
      <c r="M159" s="23"/>
      <c r="N159" s="23"/>
      <c r="O159" s="23"/>
      <c r="P159" s="23"/>
      <c r="Q159" s="23"/>
      <c r="R159" s="23">
        <f>G159+K159+L159</f>
        <v>27000</v>
      </c>
      <c r="S159" s="25">
        <f t="shared" ref="S159:S162" si="66">R159*9</f>
        <v>243000</v>
      </c>
    </row>
    <row r="160" spans="1:20" s="13" customFormat="1" x14ac:dyDescent="0.25">
      <c r="A160" s="20" t="s">
        <v>242</v>
      </c>
      <c r="B160" s="21" t="s">
        <v>91</v>
      </c>
      <c r="C160" s="22">
        <v>2</v>
      </c>
      <c r="D160" s="22">
        <v>9</v>
      </c>
      <c r="E160" s="23">
        <f>6003*C160</f>
        <v>12006</v>
      </c>
      <c r="F160" s="22"/>
      <c r="G160" s="23">
        <f t="shared" si="64"/>
        <v>12006</v>
      </c>
      <c r="H160" s="23"/>
      <c r="I160" s="23"/>
      <c r="J160" s="23"/>
      <c r="K160" s="23">
        <f t="shared" si="65"/>
        <v>3601.7999999999997</v>
      </c>
      <c r="L160" s="23">
        <f>13500*C160-G160-K160</f>
        <v>11392.2</v>
      </c>
      <c r="M160" s="23"/>
      <c r="N160" s="23"/>
      <c r="O160" s="23"/>
      <c r="P160" s="23"/>
      <c r="Q160" s="23"/>
      <c r="R160" s="23">
        <f>G160+K160+L160</f>
        <v>27000</v>
      </c>
      <c r="S160" s="25">
        <f t="shared" si="66"/>
        <v>243000</v>
      </c>
    </row>
    <row r="161" spans="1:20" x14ac:dyDescent="0.25">
      <c r="A161" s="20" t="s">
        <v>243</v>
      </c>
      <c r="B161" s="21" t="s">
        <v>134</v>
      </c>
      <c r="C161" s="22">
        <v>1</v>
      </c>
      <c r="D161" s="22">
        <v>3</v>
      </c>
      <c r="E161" s="23">
        <f>4095*C161</f>
        <v>4095</v>
      </c>
      <c r="F161" s="22"/>
      <c r="G161" s="23">
        <f t="shared" si="64"/>
        <v>4095</v>
      </c>
      <c r="H161" s="23"/>
      <c r="I161" s="23">
        <f>G161*0.1</f>
        <v>409.5</v>
      </c>
      <c r="J161" s="23"/>
      <c r="K161" s="23"/>
      <c r="L161" s="23"/>
      <c r="M161" s="23"/>
      <c r="N161" s="23"/>
      <c r="O161" s="23"/>
      <c r="P161" s="23">
        <f>8647-G161</f>
        <v>4552</v>
      </c>
      <c r="Q161" s="23"/>
      <c r="R161" s="23">
        <f>SUM(G161:Q161)</f>
        <v>9056.5</v>
      </c>
      <c r="S161" s="25">
        <f t="shared" si="66"/>
        <v>81508.5</v>
      </c>
    </row>
    <row r="162" spans="1:20" s="38" customFormat="1" x14ac:dyDescent="0.25">
      <c r="A162" s="20" t="s">
        <v>244</v>
      </c>
      <c r="B162" s="21" t="s">
        <v>245</v>
      </c>
      <c r="C162" s="22">
        <v>1</v>
      </c>
      <c r="D162" s="22">
        <v>5</v>
      </c>
      <c r="E162" s="23">
        <f>4719*C162</f>
        <v>4719</v>
      </c>
      <c r="F162" s="22"/>
      <c r="G162" s="23">
        <f t="shared" si="64"/>
        <v>4719</v>
      </c>
      <c r="H162" s="23"/>
      <c r="I162" s="23"/>
      <c r="J162" s="23"/>
      <c r="K162" s="23"/>
      <c r="L162" s="23"/>
      <c r="M162" s="23"/>
      <c r="N162" s="23"/>
      <c r="O162" s="23"/>
      <c r="P162" s="23">
        <f>8647-G162</f>
        <v>3928</v>
      </c>
      <c r="Q162" s="23"/>
      <c r="R162" s="23">
        <f>G162+P162</f>
        <v>8647</v>
      </c>
      <c r="S162" s="25">
        <f t="shared" si="66"/>
        <v>77823</v>
      </c>
    </row>
    <row r="163" spans="1:20" s="27" customFormat="1" ht="17.399999999999999" customHeight="1" thickBot="1" x14ac:dyDescent="0.3">
      <c r="A163" s="64"/>
      <c r="B163" s="47" t="s">
        <v>59</v>
      </c>
      <c r="C163" s="34">
        <f>SUM(C158:C162)</f>
        <v>8.25</v>
      </c>
      <c r="D163" s="34"/>
      <c r="E163" s="35">
        <f>SUM(E158:E162)</f>
        <v>48831</v>
      </c>
      <c r="F163" s="34">
        <f>SUM(F158:F162)</f>
        <v>1538.1000000000001</v>
      </c>
      <c r="G163" s="35">
        <f t="shared" si="64"/>
        <v>50369.1</v>
      </c>
      <c r="H163" s="35"/>
      <c r="I163" s="35">
        <f>SUM(I161:I162)</f>
        <v>409.5</v>
      </c>
      <c r="J163" s="35"/>
      <c r="K163" s="35">
        <f>SUM(K158:K162)</f>
        <v>12466.529999999999</v>
      </c>
      <c r="L163" s="35">
        <f>SUM(L158:L162)</f>
        <v>44978.369999999995</v>
      </c>
      <c r="M163" s="35">
        <f>M158</f>
        <v>0</v>
      </c>
      <c r="N163" s="35"/>
      <c r="O163" s="35">
        <f>SUM(O158:O162)</f>
        <v>0</v>
      </c>
      <c r="P163" s="35">
        <f>SUM(P161:P162)</f>
        <v>8480</v>
      </c>
      <c r="Q163" s="35"/>
      <c r="R163" s="35">
        <f>SUM(R158:R162)</f>
        <v>116703.5</v>
      </c>
      <c r="S163" s="36">
        <f>SUM(S158:S162)</f>
        <v>1050331.5</v>
      </c>
    </row>
    <row r="164" spans="1:20" s="13" customFormat="1" ht="25.8" customHeight="1" x14ac:dyDescent="0.2">
      <c r="A164" s="18"/>
      <c r="B164" s="55" t="s">
        <v>246</v>
      </c>
      <c r="C164" s="85"/>
      <c r="D164" s="85"/>
      <c r="E164" s="94"/>
      <c r="F164" s="85"/>
      <c r="G164" s="94"/>
      <c r="H164" s="94"/>
      <c r="I164" s="94"/>
      <c r="J164" s="94"/>
      <c r="K164" s="94"/>
      <c r="L164" s="94"/>
      <c r="M164" s="94"/>
      <c r="N164" s="94"/>
      <c r="O164" s="94"/>
      <c r="P164" s="94"/>
      <c r="Q164" s="94"/>
      <c r="R164" s="94"/>
      <c r="S164" s="110"/>
    </row>
    <row r="165" spans="1:20" x14ac:dyDescent="0.25">
      <c r="A165" s="20" t="s">
        <v>247</v>
      </c>
      <c r="B165" s="21" t="s">
        <v>232</v>
      </c>
      <c r="C165" s="22">
        <v>1.25</v>
      </c>
      <c r="D165" s="22">
        <v>11</v>
      </c>
      <c r="E165" s="23">
        <f>6836*C165</f>
        <v>8545</v>
      </c>
      <c r="F165" s="22">
        <f>E165*0.1</f>
        <v>854.5</v>
      </c>
      <c r="G165" s="23">
        <f t="shared" ref="G165:G168" si="67">E165+F165</f>
        <v>9399.5</v>
      </c>
      <c r="H165" s="23"/>
      <c r="I165" s="23"/>
      <c r="J165" s="23"/>
      <c r="K165" s="23">
        <f>G165*0.3</f>
        <v>2819.85</v>
      </c>
      <c r="L165" s="23">
        <f>20000*C165-G165-K165</f>
        <v>12780.65</v>
      </c>
      <c r="M165" s="23"/>
      <c r="N165" s="23"/>
      <c r="O165" s="23"/>
      <c r="P165" s="23"/>
      <c r="Q165" s="23"/>
      <c r="R165" s="23">
        <f>G165+K165+L165+O165</f>
        <v>25000</v>
      </c>
      <c r="S165" s="25">
        <f>R165*9</f>
        <v>225000</v>
      </c>
      <c r="T165" s="53"/>
    </row>
    <row r="166" spans="1:20" x14ac:dyDescent="0.25">
      <c r="A166" s="20" t="s">
        <v>248</v>
      </c>
      <c r="B166" s="21" t="s">
        <v>235</v>
      </c>
      <c r="C166" s="22">
        <v>1</v>
      </c>
      <c r="D166" s="22">
        <v>10</v>
      </c>
      <c r="E166" s="23">
        <f>6315*C166</f>
        <v>6315</v>
      </c>
      <c r="F166" s="22"/>
      <c r="G166" s="23">
        <f t="shared" si="67"/>
        <v>6315</v>
      </c>
      <c r="H166" s="23"/>
      <c r="I166" s="23"/>
      <c r="J166" s="23"/>
      <c r="K166" s="23">
        <f t="shared" ref="K166:K167" si="68">G166*0.3</f>
        <v>1894.5</v>
      </c>
      <c r="L166" s="23">
        <f>13500-G166-K166</f>
        <v>5290.5</v>
      </c>
      <c r="M166" s="23"/>
      <c r="N166" s="23"/>
      <c r="O166" s="23"/>
      <c r="P166" s="23"/>
      <c r="Q166" s="23"/>
      <c r="R166" s="23">
        <f>G166+K166+L166</f>
        <v>13500</v>
      </c>
      <c r="S166" s="25">
        <f t="shared" ref="S166:S169" si="69">R166*9</f>
        <v>121500</v>
      </c>
    </row>
    <row r="167" spans="1:20" x14ac:dyDescent="0.25">
      <c r="A167" s="20" t="s">
        <v>249</v>
      </c>
      <c r="B167" s="21" t="s">
        <v>91</v>
      </c>
      <c r="C167" s="22">
        <v>0.5</v>
      </c>
      <c r="D167" s="22">
        <v>10</v>
      </c>
      <c r="E167" s="23">
        <f>6315*C167</f>
        <v>3157.5</v>
      </c>
      <c r="F167" s="22"/>
      <c r="G167" s="23">
        <f t="shared" si="67"/>
        <v>3157.5</v>
      </c>
      <c r="H167" s="23"/>
      <c r="I167" s="23"/>
      <c r="J167" s="23"/>
      <c r="K167" s="23">
        <f t="shared" si="68"/>
        <v>947.25</v>
      </c>
      <c r="L167" s="23">
        <f>13500/2-G167-K167</f>
        <v>2645.25</v>
      </c>
      <c r="M167" s="23"/>
      <c r="N167" s="23"/>
      <c r="O167" s="23"/>
      <c r="P167" s="23"/>
      <c r="Q167" s="23"/>
      <c r="R167" s="23">
        <f>G167+K167+L167</f>
        <v>6750</v>
      </c>
      <c r="S167" s="25">
        <f t="shared" si="69"/>
        <v>60750</v>
      </c>
    </row>
    <row r="168" spans="1:20" x14ac:dyDescent="0.25">
      <c r="A168" s="20" t="s">
        <v>250</v>
      </c>
      <c r="B168" s="21" t="s">
        <v>134</v>
      </c>
      <c r="C168" s="22">
        <v>0.5</v>
      </c>
      <c r="D168" s="22">
        <v>3</v>
      </c>
      <c r="E168" s="23">
        <f>4095*C168</f>
        <v>2047.5</v>
      </c>
      <c r="F168" s="22"/>
      <c r="G168" s="23">
        <f t="shared" si="67"/>
        <v>2047.5</v>
      </c>
      <c r="H168" s="23"/>
      <c r="I168" s="23">
        <f>G168*0.1</f>
        <v>204.75</v>
      </c>
      <c r="J168" s="23"/>
      <c r="K168" s="23"/>
      <c r="L168" s="23"/>
      <c r="M168" s="23"/>
      <c r="N168" s="23"/>
      <c r="O168" s="23"/>
      <c r="P168" s="23">
        <f>8647/2-G168</f>
        <v>2276</v>
      </c>
      <c r="Q168" s="23"/>
      <c r="R168" s="23">
        <f>SUM(G168:Q168)</f>
        <v>4528.25</v>
      </c>
      <c r="S168" s="25">
        <f t="shared" si="69"/>
        <v>40754.25</v>
      </c>
    </row>
    <row r="169" spans="1:20" s="38" customFormat="1" x14ac:dyDescent="0.25">
      <c r="A169" s="20" t="s">
        <v>251</v>
      </c>
      <c r="B169" s="21" t="s">
        <v>229</v>
      </c>
      <c r="C169" s="22">
        <v>0.5</v>
      </c>
      <c r="D169" s="22">
        <v>1</v>
      </c>
      <c r="E169" s="23">
        <f>3470</f>
        <v>3470</v>
      </c>
      <c r="F169" s="22"/>
      <c r="G169" s="23">
        <f>E169+F169</f>
        <v>3470</v>
      </c>
      <c r="H169" s="23"/>
      <c r="I169" s="23"/>
      <c r="J169" s="23"/>
      <c r="K169" s="23"/>
      <c r="L169" s="23"/>
      <c r="M169" s="23"/>
      <c r="N169" s="23"/>
      <c r="O169" s="23"/>
      <c r="P169" s="23">
        <f>8647/2-G169</f>
        <v>853.5</v>
      </c>
      <c r="Q169" s="23"/>
      <c r="R169" s="23">
        <f t="shared" ref="R169" si="70">SUM(G169:Q169)</f>
        <v>4323.5</v>
      </c>
      <c r="S169" s="25">
        <f t="shared" si="69"/>
        <v>38911.5</v>
      </c>
    </row>
    <row r="170" spans="1:20" s="49" customFormat="1" ht="25.8" customHeight="1" thickBot="1" x14ac:dyDescent="0.3">
      <c r="A170" s="64"/>
      <c r="B170" s="47" t="s">
        <v>59</v>
      </c>
      <c r="C170" s="34">
        <f>SUM(C165:C169)</f>
        <v>3.75</v>
      </c>
      <c r="D170" s="34"/>
      <c r="E170" s="35">
        <f>SUM(E165:E169)</f>
        <v>23535</v>
      </c>
      <c r="F170" s="34">
        <f>SUM(F165:F169)</f>
        <v>854.5</v>
      </c>
      <c r="G170" s="35">
        <f>SUM(G165:G169)</f>
        <v>24389.5</v>
      </c>
      <c r="H170" s="35"/>
      <c r="I170" s="35">
        <f>SUM(I168:I169)</f>
        <v>204.75</v>
      </c>
      <c r="J170" s="35"/>
      <c r="K170" s="35">
        <f>SUM(K165:K169)</f>
        <v>5661.6</v>
      </c>
      <c r="L170" s="35">
        <f>SUM(L165:L169)</f>
        <v>20716.400000000001</v>
      </c>
      <c r="M170" s="35"/>
      <c r="N170" s="35"/>
      <c r="O170" s="35">
        <f>SUM(O165:O169)</f>
        <v>0</v>
      </c>
      <c r="P170" s="35">
        <f>SUM(P168:P169)</f>
        <v>3129.5</v>
      </c>
      <c r="Q170" s="35"/>
      <c r="R170" s="35">
        <f>SUM(R165:R169)</f>
        <v>54101.75</v>
      </c>
      <c r="S170" s="36">
        <f>SUM(S165:S169)</f>
        <v>486915.75</v>
      </c>
    </row>
    <row r="171" spans="1:20" s="13" customFormat="1" ht="23.4" customHeight="1" x14ac:dyDescent="0.2">
      <c r="A171" s="18"/>
      <c r="B171" s="55" t="s">
        <v>252</v>
      </c>
      <c r="C171" s="85"/>
      <c r="D171" s="85"/>
      <c r="E171" s="94"/>
      <c r="F171" s="85"/>
      <c r="G171" s="94"/>
      <c r="H171" s="94"/>
      <c r="I171" s="94"/>
      <c r="J171" s="94"/>
      <c r="K171" s="94"/>
      <c r="L171" s="94"/>
      <c r="M171" s="94"/>
      <c r="N171" s="94"/>
      <c r="O171" s="94"/>
      <c r="P171" s="94"/>
      <c r="Q171" s="94"/>
      <c r="R171" s="94"/>
      <c r="S171" s="110"/>
    </row>
    <row r="172" spans="1:20" s="13" customFormat="1" x14ac:dyDescent="0.25">
      <c r="A172" s="20" t="s">
        <v>253</v>
      </c>
      <c r="B172" s="21" t="s">
        <v>206</v>
      </c>
      <c r="C172" s="22">
        <v>1</v>
      </c>
      <c r="D172" s="22">
        <v>14</v>
      </c>
      <c r="E172" s="23">
        <f>8397*C172</f>
        <v>8397</v>
      </c>
      <c r="F172" s="22">
        <f>E172*0.1</f>
        <v>839.7</v>
      </c>
      <c r="G172" s="23">
        <f t="shared" ref="G172:G179" si="71">E172+F172</f>
        <v>9236.7000000000007</v>
      </c>
      <c r="H172" s="23"/>
      <c r="I172" s="23"/>
      <c r="J172" s="23"/>
      <c r="K172" s="23">
        <f>G172*0.3</f>
        <v>2771.01</v>
      </c>
      <c r="L172" s="23">
        <f>20000-G172-K172</f>
        <v>7992.2899999999991</v>
      </c>
      <c r="M172" s="23"/>
      <c r="N172" s="23"/>
      <c r="O172" s="23"/>
      <c r="P172" s="23"/>
      <c r="Q172" s="23"/>
      <c r="R172" s="23">
        <f>G172+K172+L172+O172</f>
        <v>20000</v>
      </c>
      <c r="S172" s="25">
        <f>R172*9</f>
        <v>180000</v>
      </c>
    </row>
    <row r="173" spans="1:20" s="13" customFormat="1" x14ac:dyDescent="0.25">
      <c r="A173" s="20" t="s">
        <v>254</v>
      </c>
      <c r="B173" s="21" t="s">
        <v>112</v>
      </c>
      <c r="C173" s="22">
        <v>0.5</v>
      </c>
      <c r="D173" s="22">
        <v>13</v>
      </c>
      <c r="E173" s="23">
        <f>7877*C173</f>
        <v>3938.5</v>
      </c>
      <c r="F173" s="22"/>
      <c r="G173" s="23">
        <f t="shared" si="71"/>
        <v>3938.5</v>
      </c>
      <c r="H173" s="23"/>
      <c r="I173" s="23"/>
      <c r="J173" s="23"/>
      <c r="K173" s="23">
        <f t="shared" ref="K173:K176" si="72">G173*0.3</f>
        <v>1181.55</v>
      </c>
      <c r="L173" s="23">
        <f>20000*C173-G173-K173</f>
        <v>4879.95</v>
      </c>
      <c r="M173" s="23"/>
      <c r="N173" s="23"/>
      <c r="O173" s="23"/>
      <c r="P173" s="23"/>
      <c r="Q173" s="23"/>
      <c r="R173" s="23">
        <f>G173+K173+L173+O173</f>
        <v>10000</v>
      </c>
      <c r="S173" s="25">
        <f t="shared" ref="S173:S178" si="73">R173*9</f>
        <v>90000</v>
      </c>
    </row>
    <row r="174" spans="1:20" x14ac:dyDescent="0.25">
      <c r="A174" s="20" t="s">
        <v>255</v>
      </c>
      <c r="B174" s="21" t="s">
        <v>171</v>
      </c>
      <c r="C174" s="22">
        <v>1</v>
      </c>
      <c r="D174" s="22">
        <v>11</v>
      </c>
      <c r="E174" s="23">
        <f>6836*C174</f>
        <v>6836</v>
      </c>
      <c r="F174" s="22"/>
      <c r="G174" s="23">
        <f t="shared" si="71"/>
        <v>6836</v>
      </c>
      <c r="H174" s="23"/>
      <c r="I174" s="23"/>
      <c r="J174" s="23"/>
      <c r="K174" s="23">
        <f t="shared" si="72"/>
        <v>2050.7999999999997</v>
      </c>
      <c r="L174" s="23">
        <f>20000-G174-K174</f>
        <v>11113.2</v>
      </c>
      <c r="M174" s="23"/>
      <c r="N174" s="23"/>
      <c r="O174" s="23"/>
      <c r="P174" s="23"/>
      <c r="Q174" s="23"/>
      <c r="R174" s="23">
        <f>G174+K174+L174+O174</f>
        <v>20000</v>
      </c>
      <c r="S174" s="25">
        <f t="shared" si="73"/>
        <v>180000</v>
      </c>
    </row>
    <row r="175" spans="1:20" x14ac:dyDescent="0.25">
      <c r="A175" s="20" t="s">
        <v>256</v>
      </c>
      <c r="B175" s="21" t="s">
        <v>212</v>
      </c>
      <c r="C175" s="22">
        <v>1</v>
      </c>
      <c r="D175" s="22">
        <v>10</v>
      </c>
      <c r="E175" s="23">
        <f>6315*C175</f>
        <v>6315</v>
      </c>
      <c r="F175" s="22"/>
      <c r="G175" s="23">
        <f t="shared" si="71"/>
        <v>6315</v>
      </c>
      <c r="H175" s="23"/>
      <c r="I175" s="23"/>
      <c r="J175" s="23"/>
      <c r="K175" s="23">
        <f t="shared" si="72"/>
        <v>1894.5</v>
      </c>
      <c r="L175" s="23">
        <f>13500-G175-K175</f>
        <v>5290.5</v>
      </c>
      <c r="M175" s="23"/>
      <c r="N175" s="23"/>
      <c r="O175" s="23"/>
      <c r="P175" s="23"/>
      <c r="Q175" s="23"/>
      <c r="R175" s="23">
        <f>G175+K175+L175</f>
        <v>13500</v>
      </c>
      <c r="S175" s="25">
        <f t="shared" si="73"/>
        <v>121500</v>
      </c>
    </row>
    <row r="176" spans="1:20" x14ac:dyDescent="0.25">
      <c r="A176" s="20" t="s">
        <v>257</v>
      </c>
      <c r="B176" s="21" t="s">
        <v>235</v>
      </c>
      <c r="C176" s="22">
        <v>2</v>
      </c>
      <c r="D176" s="22">
        <v>10</v>
      </c>
      <c r="E176" s="23">
        <f>5815*C176</f>
        <v>11630</v>
      </c>
      <c r="F176" s="22"/>
      <c r="G176" s="23">
        <f t="shared" si="71"/>
        <v>11630</v>
      </c>
      <c r="H176" s="23"/>
      <c r="I176" s="23"/>
      <c r="J176" s="23"/>
      <c r="K176" s="23">
        <f t="shared" si="72"/>
        <v>3489</v>
      </c>
      <c r="L176" s="23">
        <f>13500*C176-G176-K176</f>
        <v>11881</v>
      </c>
      <c r="M176" s="23"/>
      <c r="N176" s="23"/>
      <c r="O176" s="23"/>
      <c r="P176" s="23"/>
      <c r="Q176" s="23"/>
      <c r="R176" s="23">
        <f t="shared" ref="R176" si="74">G176+K176+L176</f>
        <v>27000</v>
      </c>
      <c r="S176" s="25">
        <f t="shared" si="73"/>
        <v>243000</v>
      </c>
    </row>
    <row r="177" spans="1:20" x14ac:dyDescent="0.25">
      <c r="A177" s="20" t="s">
        <v>258</v>
      </c>
      <c r="B177" s="21" t="s">
        <v>134</v>
      </c>
      <c r="C177" s="22">
        <v>1</v>
      </c>
      <c r="D177" s="22">
        <v>3</v>
      </c>
      <c r="E177" s="23">
        <f>4095*C177</f>
        <v>4095</v>
      </c>
      <c r="F177" s="22"/>
      <c r="G177" s="23">
        <f t="shared" si="71"/>
        <v>4095</v>
      </c>
      <c r="H177" s="23"/>
      <c r="I177" s="23">
        <f>G177*0.1</f>
        <v>409.5</v>
      </c>
      <c r="J177" s="23"/>
      <c r="K177" s="23"/>
      <c r="L177" s="23"/>
      <c r="M177" s="23"/>
      <c r="N177" s="23"/>
      <c r="O177" s="23"/>
      <c r="P177" s="23">
        <f>8647-G177</f>
        <v>4552</v>
      </c>
      <c r="Q177" s="23"/>
      <c r="R177" s="23">
        <f>G177+I177+P177</f>
        <v>9056.5</v>
      </c>
      <c r="S177" s="25">
        <f t="shared" si="73"/>
        <v>81508.5</v>
      </c>
      <c r="T177" s="53"/>
    </row>
    <row r="178" spans="1:20" s="38" customFormat="1" x14ac:dyDescent="0.25">
      <c r="A178" s="20" t="s">
        <v>260</v>
      </c>
      <c r="B178" s="21" t="s">
        <v>245</v>
      </c>
      <c r="C178" s="22">
        <v>0.5</v>
      </c>
      <c r="D178" s="22">
        <v>5</v>
      </c>
      <c r="E178" s="23">
        <f>4719*C178</f>
        <v>2359.5</v>
      </c>
      <c r="F178" s="22"/>
      <c r="G178" s="23">
        <f t="shared" si="71"/>
        <v>2359.5</v>
      </c>
      <c r="H178" s="23"/>
      <c r="I178" s="23"/>
      <c r="J178" s="23"/>
      <c r="K178" s="23"/>
      <c r="L178" s="23"/>
      <c r="M178" s="23"/>
      <c r="N178" s="23"/>
      <c r="O178" s="23"/>
      <c r="P178" s="23">
        <f>8647/2-G178</f>
        <v>1964</v>
      </c>
      <c r="Q178" s="23"/>
      <c r="R178" s="23">
        <f>SUM(G178:Q178)</f>
        <v>4323.5</v>
      </c>
      <c r="S178" s="25">
        <f t="shared" si="73"/>
        <v>38911.5</v>
      </c>
    </row>
    <row r="179" spans="1:20" s="49" customFormat="1" ht="45" customHeight="1" thickBot="1" x14ac:dyDescent="0.3">
      <c r="A179" s="64"/>
      <c r="B179" s="47" t="s">
        <v>59</v>
      </c>
      <c r="C179" s="34">
        <f>SUM(C172:C178)</f>
        <v>7</v>
      </c>
      <c r="D179" s="34"/>
      <c r="E179" s="35">
        <f>SUM(E172:E178)</f>
        <v>43571</v>
      </c>
      <c r="F179" s="34">
        <f>SUM(F172:F178)</f>
        <v>839.7</v>
      </c>
      <c r="G179" s="35">
        <f t="shared" si="71"/>
        <v>44410.7</v>
      </c>
      <c r="H179" s="35"/>
      <c r="I179" s="35">
        <f>SUM(I177:I178)</f>
        <v>409.5</v>
      </c>
      <c r="J179" s="35"/>
      <c r="K179" s="35">
        <f>SUM(K172:K178)</f>
        <v>11386.86</v>
      </c>
      <c r="L179" s="35">
        <f>SUM(L172:L178)</f>
        <v>41156.94</v>
      </c>
      <c r="M179" s="35"/>
      <c r="N179" s="35"/>
      <c r="O179" s="35">
        <f>SUM(O172:O178)</f>
        <v>0</v>
      </c>
      <c r="P179" s="35">
        <f>SUM(P172:P178)</f>
        <v>6516</v>
      </c>
      <c r="Q179" s="35"/>
      <c r="R179" s="35">
        <f>SUM(R172:R178)</f>
        <v>103880</v>
      </c>
      <c r="S179" s="36">
        <f>SUM(S172:S178)</f>
        <v>934920</v>
      </c>
    </row>
    <row r="180" spans="1:20" s="13" customFormat="1" ht="22.8" customHeight="1" x14ac:dyDescent="0.2">
      <c r="A180" s="18"/>
      <c r="B180" s="55" t="s">
        <v>259</v>
      </c>
      <c r="C180" s="85"/>
      <c r="D180" s="85"/>
      <c r="E180" s="94"/>
      <c r="F180" s="85"/>
      <c r="G180" s="94"/>
      <c r="H180" s="94"/>
      <c r="I180" s="94"/>
      <c r="J180" s="94"/>
      <c r="K180" s="94"/>
      <c r="L180" s="94"/>
      <c r="M180" s="94"/>
      <c r="N180" s="94"/>
      <c r="O180" s="94"/>
      <c r="P180" s="94"/>
      <c r="Q180" s="94"/>
      <c r="R180" s="94"/>
      <c r="S180" s="110"/>
    </row>
    <row r="181" spans="1:20" s="13" customFormat="1" x14ac:dyDescent="0.25">
      <c r="A181" s="20" t="s">
        <v>261</v>
      </c>
      <c r="B181" s="21" t="s">
        <v>206</v>
      </c>
      <c r="C181" s="22">
        <v>0.75</v>
      </c>
      <c r="D181" s="22">
        <v>14</v>
      </c>
      <c r="E181" s="23">
        <f>8397*C181</f>
        <v>6297.75</v>
      </c>
      <c r="F181" s="22">
        <f>E181*0.1</f>
        <v>629.77500000000009</v>
      </c>
      <c r="G181" s="23">
        <f t="shared" ref="G181:G184" si="75">E181+F181</f>
        <v>6927.5249999999996</v>
      </c>
      <c r="H181" s="23"/>
      <c r="I181" s="23"/>
      <c r="J181" s="23"/>
      <c r="K181" s="23"/>
      <c r="L181" s="23">
        <f>20000*C181-G181</f>
        <v>8072.4750000000004</v>
      </c>
      <c r="M181" s="23"/>
      <c r="N181" s="23"/>
      <c r="O181" s="23"/>
      <c r="P181" s="23"/>
      <c r="Q181" s="23"/>
      <c r="R181" s="23">
        <f>SUM(G181:Q181)</f>
        <v>15000</v>
      </c>
      <c r="S181" s="25">
        <f>R181*9</f>
        <v>135000</v>
      </c>
    </row>
    <row r="182" spans="1:20" x14ac:dyDescent="0.25">
      <c r="A182" s="20" t="s">
        <v>262</v>
      </c>
      <c r="B182" s="21" t="s">
        <v>235</v>
      </c>
      <c r="C182" s="22">
        <v>1</v>
      </c>
      <c r="D182" s="22">
        <v>10</v>
      </c>
      <c r="E182" s="23">
        <f>6315*C182</f>
        <v>6315</v>
      </c>
      <c r="F182" s="22"/>
      <c r="G182" s="23">
        <f t="shared" si="75"/>
        <v>6315</v>
      </c>
      <c r="H182" s="23"/>
      <c r="I182" s="23"/>
      <c r="J182" s="23"/>
      <c r="K182" s="23">
        <f>G182*0.3</f>
        <v>1894.5</v>
      </c>
      <c r="L182" s="23">
        <f>13500-G182-K182</f>
        <v>5290.5</v>
      </c>
      <c r="M182" s="23"/>
      <c r="N182" s="23"/>
      <c r="O182" s="23"/>
      <c r="P182" s="23"/>
      <c r="Q182" s="23"/>
      <c r="R182" s="23">
        <f>G182+K182+L182</f>
        <v>13500</v>
      </c>
      <c r="S182" s="25">
        <f t="shared" ref="S182:S183" si="76">R182*9</f>
        <v>121500</v>
      </c>
      <c r="T182" s="53"/>
    </row>
    <row r="183" spans="1:20" s="38" customFormat="1" x14ac:dyDescent="0.25">
      <c r="A183" s="20" t="s">
        <v>264</v>
      </c>
      <c r="B183" s="21" t="s">
        <v>134</v>
      </c>
      <c r="C183" s="22">
        <v>1</v>
      </c>
      <c r="D183" s="22">
        <v>3</v>
      </c>
      <c r="E183" s="23">
        <f>4095*C183</f>
        <v>4095</v>
      </c>
      <c r="F183" s="22"/>
      <c r="G183" s="23">
        <f t="shared" si="75"/>
        <v>4095</v>
      </c>
      <c r="H183" s="23"/>
      <c r="I183" s="23">
        <f>G183*0.1</f>
        <v>409.5</v>
      </c>
      <c r="J183" s="23"/>
      <c r="K183" s="23"/>
      <c r="L183" s="23"/>
      <c r="M183" s="23"/>
      <c r="N183" s="23"/>
      <c r="O183" s="23"/>
      <c r="P183" s="23">
        <f>8647-G183</f>
        <v>4552</v>
      </c>
      <c r="Q183" s="23"/>
      <c r="R183" s="23">
        <f>G183+I183+P183</f>
        <v>9056.5</v>
      </c>
      <c r="S183" s="25">
        <f t="shared" si="76"/>
        <v>81508.5</v>
      </c>
    </row>
    <row r="184" spans="1:20" s="49" customFormat="1" ht="23.4" customHeight="1" thickBot="1" x14ac:dyDescent="0.3">
      <c r="A184" s="64"/>
      <c r="B184" s="47" t="s">
        <v>59</v>
      </c>
      <c r="C184" s="34">
        <f>SUM(C181:C183)</f>
        <v>2.75</v>
      </c>
      <c r="D184" s="34"/>
      <c r="E184" s="35">
        <f>SUM(E181:E183)</f>
        <v>16707.75</v>
      </c>
      <c r="F184" s="34">
        <f>SUM(F181:F183)</f>
        <v>629.77500000000009</v>
      </c>
      <c r="G184" s="35">
        <f t="shared" si="75"/>
        <v>17337.525000000001</v>
      </c>
      <c r="H184" s="35"/>
      <c r="I184" s="35">
        <f>SUM(I183)</f>
        <v>409.5</v>
      </c>
      <c r="J184" s="35"/>
      <c r="K184" s="35">
        <f>K182</f>
        <v>1894.5</v>
      </c>
      <c r="L184" s="35">
        <f>L181+L182</f>
        <v>13362.975</v>
      </c>
      <c r="M184" s="35">
        <f>M181</f>
        <v>0</v>
      </c>
      <c r="N184" s="35"/>
      <c r="O184" s="35"/>
      <c r="P184" s="35">
        <f>SUM(P183)</f>
        <v>4552</v>
      </c>
      <c r="Q184" s="35"/>
      <c r="R184" s="35">
        <f>SUM(R181:R183)</f>
        <v>37556.5</v>
      </c>
      <c r="S184" s="36">
        <f>SUM(S181:S183)</f>
        <v>338008.5</v>
      </c>
    </row>
    <row r="185" spans="1:20" ht="21" customHeight="1" x14ac:dyDescent="0.25">
      <c r="A185" s="15"/>
      <c r="B185" s="55" t="s">
        <v>312</v>
      </c>
      <c r="C185" s="85"/>
      <c r="D185" s="85"/>
      <c r="E185" s="94"/>
      <c r="F185" s="85"/>
      <c r="G185" s="94"/>
      <c r="H185" s="94"/>
      <c r="I185" s="94"/>
      <c r="J185" s="94"/>
      <c r="K185" s="94"/>
      <c r="L185" s="94"/>
      <c r="M185" s="94"/>
      <c r="N185" s="94"/>
      <c r="O185" s="94"/>
      <c r="P185" s="94"/>
      <c r="Q185" s="94"/>
      <c r="R185" s="94"/>
      <c r="S185" s="110"/>
    </row>
    <row r="186" spans="1:20" ht="24.6" customHeight="1" x14ac:dyDescent="0.25">
      <c r="A186" s="20"/>
      <c r="B186" s="44" t="s">
        <v>263</v>
      </c>
      <c r="C186" s="22"/>
      <c r="D186" s="22"/>
      <c r="E186" s="23"/>
      <c r="F186" s="22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5"/>
    </row>
    <row r="187" spans="1:20" x14ac:dyDescent="0.25">
      <c r="A187" s="20" t="s">
        <v>264</v>
      </c>
      <c r="B187" s="21" t="s">
        <v>220</v>
      </c>
      <c r="C187" s="22">
        <v>0.5</v>
      </c>
      <c r="D187" s="22">
        <v>10</v>
      </c>
      <c r="E187" s="23">
        <f>6315*C187</f>
        <v>3157.5</v>
      </c>
      <c r="F187" s="22"/>
      <c r="G187" s="23">
        <f t="shared" ref="G187:G190" si="77">E187+F187</f>
        <v>3157.5</v>
      </c>
      <c r="H187" s="23"/>
      <c r="I187" s="23"/>
      <c r="J187" s="23"/>
      <c r="K187" s="23">
        <f>G187*0.3</f>
        <v>947.25</v>
      </c>
      <c r="L187" s="23">
        <f>R187-K187-G187</f>
        <v>2645.25</v>
      </c>
      <c r="M187" s="23"/>
      <c r="N187" s="23"/>
      <c r="O187" s="23"/>
      <c r="P187" s="23"/>
      <c r="Q187" s="23"/>
      <c r="R187" s="23">
        <v>6750</v>
      </c>
      <c r="S187" s="25">
        <f>R187*9</f>
        <v>60750</v>
      </c>
    </row>
    <row r="188" spans="1:20" x14ac:dyDescent="0.25">
      <c r="A188" s="20" t="s">
        <v>265</v>
      </c>
      <c r="B188" s="21" t="s">
        <v>134</v>
      </c>
      <c r="C188" s="22">
        <v>0.25</v>
      </c>
      <c r="D188" s="22">
        <v>3</v>
      </c>
      <c r="E188" s="23">
        <f>4095*C188</f>
        <v>1023.75</v>
      </c>
      <c r="F188" s="22"/>
      <c r="G188" s="23">
        <f t="shared" si="77"/>
        <v>1023.75</v>
      </c>
      <c r="H188" s="23"/>
      <c r="I188" s="23">
        <f>G188*0.1</f>
        <v>102.375</v>
      </c>
      <c r="J188" s="23"/>
      <c r="K188" s="23"/>
      <c r="L188" s="23"/>
      <c r="M188" s="23"/>
      <c r="N188" s="23"/>
      <c r="O188" s="23"/>
      <c r="P188" s="23">
        <f>8647*0.25-G188</f>
        <v>1138</v>
      </c>
      <c r="Q188" s="23"/>
      <c r="R188" s="23">
        <f>E188+I188+P188</f>
        <v>2264.125</v>
      </c>
      <c r="S188" s="25">
        <f>R188*9</f>
        <v>20377.125</v>
      </c>
    </row>
    <row r="189" spans="1:20" s="38" customFormat="1" x14ac:dyDescent="0.25">
      <c r="A189" s="20" t="s">
        <v>266</v>
      </c>
      <c r="B189" s="21" t="s">
        <v>267</v>
      </c>
      <c r="C189" s="22">
        <v>0.25</v>
      </c>
      <c r="D189" s="22">
        <v>1</v>
      </c>
      <c r="E189" s="23">
        <f>3470*C189</f>
        <v>867.5</v>
      </c>
      <c r="F189" s="22"/>
      <c r="G189" s="23">
        <f t="shared" si="77"/>
        <v>867.5</v>
      </c>
      <c r="H189" s="23"/>
      <c r="I189" s="23"/>
      <c r="J189" s="23"/>
      <c r="K189" s="23"/>
      <c r="L189" s="23"/>
      <c r="M189" s="23"/>
      <c r="N189" s="23"/>
      <c r="O189" s="23"/>
      <c r="P189" s="23">
        <f>8647*0.25-G189</f>
        <v>1294.25</v>
      </c>
      <c r="Q189" s="23"/>
      <c r="R189" s="23">
        <f>E189+P189</f>
        <v>2161.75</v>
      </c>
      <c r="S189" s="25">
        <f>R189*3</f>
        <v>6485.25</v>
      </c>
    </row>
    <row r="190" spans="1:20" s="27" customFormat="1" ht="24" customHeight="1" thickBot="1" x14ac:dyDescent="0.3">
      <c r="A190" s="112"/>
      <c r="B190" s="113" t="s">
        <v>59</v>
      </c>
      <c r="C190" s="114">
        <f>C187+C188+C189</f>
        <v>1</v>
      </c>
      <c r="D190" s="114"/>
      <c r="E190" s="115">
        <f>E187+E188+E189</f>
        <v>5048.75</v>
      </c>
      <c r="F190" s="114"/>
      <c r="G190" s="115">
        <f t="shared" si="77"/>
        <v>5048.75</v>
      </c>
      <c r="H190" s="115"/>
      <c r="I190" s="115">
        <f>SUM(I188)</f>
        <v>102.375</v>
      </c>
      <c r="J190" s="115"/>
      <c r="K190" s="115">
        <f>SUM(K187:K188)</f>
        <v>947.25</v>
      </c>
      <c r="L190" s="115">
        <f>SUM(L187:L188)</f>
        <v>2645.25</v>
      </c>
      <c r="M190" s="115"/>
      <c r="N190" s="115"/>
      <c r="O190" s="115"/>
      <c r="P190" s="115">
        <f>P188+P189</f>
        <v>2432.25</v>
      </c>
      <c r="Q190" s="115"/>
      <c r="R190" s="115">
        <f>SUM(R187:R189)</f>
        <v>11175.875</v>
      </c>
      <c r="S190" s="116">
        <f>SUM(S187:S189)</f>
        <v>87612.375</v>
      </c>
    </row>
    <row r="191" spans="1:20" s="13" customFormat="1" ht="20.399999999999999" customHeight="1" x14ac:dyDescent="0.2">
      <c r="A191" s="18"/>
      <c r="B191" s="55" t="s">
        <v>268</v>
      </c>
      <c r="C191" s="85"/>
      <c r="D191" s="85"/>
      <c r="E191" s="94"/>
      <c r="F191" s="85"/>
      <c r="G191" s="94"/>
      <c r="H191" s="94"/>
      <c r="I191" s="94"/>
      <c r="J191" s="94"/>
      <c r="K191" s="94"/>
      <c r="L191" s="94"/>
      <c r="M191" s="94"/>
      <c r="N191" s="94"/>
      <c r="O191" s="94"/>
      <c r="P191" s="94"/>
      <c r="Q191" s="94"/>
      <c r="R191" s="94"/>
      <c r="S191" s="110"/>
    </row>
    <row r="192" spans="1:20" x14ac:dyDescent="0.25">
      <c r="A192" s="20" t="s">
        <v>269</v>
      </c>
      <c r="B192" s="21" t="s">
        <v>220</v>
      </c>
      <c r="C192" s="22">
        <v>0.5</v>
      </c>
      <c r="D192" s="22">
        <v>9</v>
      </c>
      <c r="E192" s="23">
        <f>6003*C192</f>
        <v>3001.5</v>
      </c>
      <c r="F192" s="22"/>
      <c r="G192" s="23">
        <f t="shared" ref="G192:G195" si="78">E192+F192</f>
        <v>3001.5</v>
      </c>
      <c r="H192" s="23"/>
      <c r="I192" s="23"/>
      <c r="J192" s="23"/>
      <c r="K192" s="23">
        <f>G192*0.3</f>
        <v>900.44999999999993</v>
      </c>
      <c r="L192" s="23">
        <f>6750-G192-K192</f>
        <v>2848.05</v>
      </c>
      <c r="M192" s="23"/>
      <c r="N192" s="23"/>
      <c r="O192" s="23"/>
      <c r="P192" s="23"/>
      <c r="Q192" s="23"/>
      <c r="R192" s="23">
        <f>G192+K192+L192</f>
        <v>6750</v>
      </c>
      <c r="S192" s="25">
        <f>R192*9</f>
        <v>60750</v>
      </c>
    </row>
    <row r="193" spans="1:20" x14ac:dyDescent="0.25">
      <c r="A193" s="20" t="s">
        <v>270</v>
      </c>
      <c r="B193" s="21" t="s">
        <v>134</v>
      </c>
      <c r="C193" s="22">
        <v>0.25</v>
      </c>
      <c r="D193" s="22">
        <v>3</v>
      </c>
      <c r="E193" s="23">
        <f>4095*C193</f>
        <v>1023.75</v>
      </c>
      <c r="F193" s="22"/>
      <c r="G193" s="23">
        <f t="shared" si="78"/>
        <v>1023.75</v>
      </c>
      <c r="H193" s="23"/>
      <c r="I193" s="23">
        <f>G193*0.1</f>
        <v>102.375</v>
      </c>
      <c r="J193" s="23"/>
      <c r="K193" s="23"/>
      <c r="L193" s="23"/>
      <c r="M193" s="23"/>
      <c r="N193" s="23"/>
      <c r="O193" s="23"/>
      <c r="P193" s="23">
        <f>8647*0.25-G193</f>
        <v>1138</v>
      </c>
      <c r="Q193" s="23"/>
      <c r="R193" s="23">
        <f>E193+I193+P193</f>
        <v>2264.125</v>
      </c>
      <c r="S193" s="25">
        <f>R193*9</f>
        <v>20377.125</v>
      </c>
    </row>
    <row r="194" spans="1:20" s="38" customFormat="1" x14ac:dyDescent="0.25">
      <c r="A194" s="20" t="s">
        <v>271</v>
      </c>
      <c r="B194" s="21" t="s">
        <v>227</v>
      </c>
      <c r="C194" s="22">
        <v>0.5</v>
      </c>
      <c r="D194" s="22">
        <v>1</v>
      </c>
      <c r="E194" s="23">
        <f>3470*C194</f>
        <v>1735</v>
      </c>
      <c r="F194" s="22"/>
      <c r="G194" s="23">
        <f t="shared" si="78"/>
        <v>1735</v>
      </c>
      <c r="H194" s="23"/>
      <c r="I194" s="23"/>
      <c r="J194" s="23"/>
      <c r="K194" s="23"/>
      <c r="L194" s="23"/>
      <c r="M194" s="23"/>
      <c r="N194" s="23"/>
      <c r="O194" s="23"/>
      <c r="P194" s="23">
        <f>8647/2-G194</f>
        <v>2588.5</v>
      </c>
      <c r="Q194" s="23"/>
      <c r="R194" s="23">
        <f>E194+P194</f>
        <v>4323.5</v>
      </c>
      <c r="S194" s="25">
        <f>R194*3</f>
        <v>12970.5</v>
      </c>
    </row>
    <row r="195" spans="1:20" s="27" customFormat="1" ht="27.6" customHeight="1" thickBot="1" x14ac:dyDescent="0.3">
      <c r="A195" s="64"/>
      <c r="B195" s="47" t="s">
        <v>59</v>
      </c>
      <c r="C195" s="34">
        <f>C192+C193+C194</f>
        <v>1.25</v>
      </c>
      <c r="D195" s="34"/>
      <c r="E195" s="35">
        <f>E192+E193+E194</f>
        <v>5760.25</v>
      </c>
      <c r="F195" s="34"/>
      <c r="G195" s="35">
        <f t="shared" si="78"/>
        <v>5760.25</v>
      </c>
      <c r="H195" s="35"/>
      <c r="I195" s="35">
        <f>SUM(I192:I193)</f>
        <v>102.375</v>
      </c>
      <c r="J195" s="35"/>
      <c r="K195" s="35">
        <f>SUM(K192:K194)</f>
        <v>900.44999999999993</v>
      </c>
      <c r="L195" s="35">
        <f>SUM(L191:L193)</f>
        <v>2848.05</v>
      </c>
      <c r="M195" s="35"/>
      <c r="N195" s="35"/>
      <c r="O195" s="35"/>
      <c r="P195" s="35">
        <f>P193+P194</f>
        <v>3726.5</v>
      </c>
      <c r="Q195" s="35"/>
      <c r="R195" s="35">
        <f>SUM(R192:R194)</f>
        <v>13337.625</v>
      </c>
      <c r="S195" s="36">
        <f>SUM(S192:S194)</f>
        <v>94097.625</v>
      </c>
    </row>
    <row r="196" spans="1:20" ht="22.8" customHeight="1" x14ac:dyDescent="0.25">
      <c r="A196" s="57"/>
      <c r="B196" s="111" t="s">
        <v>272</v>
      </c>
      <c r="C196" s="91"/>
      <c r="D196" s="91"/>
      <c r="E196" s="51"/>
      <c r="F196" s="9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141"/>
      <c r="T196" s="142"/>
    </row>
    <row r="197" spans="1:20" x14ac:dyDescent="0.25">
      <c r="A197" s="20" t="s">
        <v>273</v>
      </c>
      <c r="B197" s="21" t="s">
        <v>130</v>
      </c>
      <c r="C197" s="22">
        <v>1</v>
      </c>
      <c r="D197" s="22">
        <v>10</v>
      </c>
      <c r="E197" s="23">
        <f>6315*C197</f>
        <v>6315</v>
      </c>
      <c r="F197" s="22"/>
      <c r="G197" s="23">
        <f t="shared" ref="G197:G200" si="79">E197+F197</f>
        <v>6315</v>
      </c>
      <c r="H197" s="23"/>
      <c r="I197" s="23"/>
      <c r="J197" s="23"/>
      <c r="K197" s="23">
        <f>G197*0.3</f>
        <v>1894.5</v>
      </c>
      <c r="L197" s="23">
        <f>13500-G197-K197</f>
        <v>5290.5</v>
      </c>
      <c r="M197" s="23"/>
      <c r="N197" s="23"/>
      <c r="O197" s="23"/>
      <c r="P197" s="23"/>
      <c r="Q197" s="23"/>
      <c r="R197" s="23">
        <f>G197+K197+L197</f>
        <v>13500</v>
      </c>
      <c r="S197" s="25">
        <f>R197*9</f>
        <v>121500</v>
      </c>
    </row>
    <row r="198" spans="1:20" x14ac:dyDescent="0.25">
      <c r="A198" s="20" t="s">
        <v>274</v>
      </c>
      <c r="B198" s="21" t="s">
        <v>134</v>
      </c>
      <c r="C198" s="22">
        <v>0.25</v>
      </c>
      <c r="D198" s="22">
        <v>3</v>
      </c>
      <c r="E198" s="23">
        <f>4095*C198</f>
        <v>1023.75</v>
      </c>
      <c r="F198" s="22"/>
      <c r="G198" s="23">
        <f t="shared" si="79"/>
        <v>1023.75</v>
      </c>
      <c r="H198" s="23"/>
      <c r="I198" s="23">
        <f>G198*0.1</f>
        <v>102.375</v>
      </c>
      <c r="J198" s="23"/>
      <c r="K198" s="23"/>
      <c r="L198" s="23"/>
      <c r="M198" s="23"/>
      <c r="N198" s="23"/>
      <c r="O198" s="23"/>
      <c r="P198" s="23">
        <f>8647*0.25-G198</f>
        <v>1138</v>
      </c>
      <c r="Q198" s="23"/>
      <c r="R198" s="23">
        <f>E198+I198+P198</f>
        <v>2264.125</v>
      </c>
      <c r="S198" s="25">
        <f>R198*9</f>
        <v>20377.125</v>
      </c>
    </row>
    <row r="199" spans="1:20" s="38" customFormat="1" x14ac:dyDescent="0.25">
      <c r="A199" s="20" t="s">
        <v>275</v>
      </c>
      <c r="B199" s="21" t="s">
        <v>267</v>
      </c>
      <c r="C199" s="22">
        <v>0.25</v>
      </c>
      <c r="D199" s="22">
        <v>1</v>
      </c>
      <c r="E199" s="23">
        <f>3470*C199</f>
        <v>867.5</v>
      </c>
      <c r="F199" s="22"/>
      <c r="G199" s="23">
        <f t="shared" si="79"/>
        <v>867.5</v>
      </c>
      <c r="H199" s="23"/>
      <c r="I199" s="23"/>
      <c r="J199" s="23"/>
      <c r="K199" s="23"/>
      <c r="L199" s="23"/>
      <c r="M199" s="23"/>
      <c r="N199" s="23"/>
      <c r="O199" s="23"/>
      <c r="P199" s="23">
        <f>8647*0.25-G199</f>
        <v>1294.25</v>
      </c>
      <c r="Q199" s="23"/>
      <c r="R199" s="23">
        <f>E199+P199</f>
        <v>2161.75</v>
      </c>
      <c r="S199" s="25">
        <f>R199*3</f>
        <v>6485.25</v>
      </c>
    </row>
    <row r="200" spans="1:20" s="27" customFormat="1" ht="26.4" customHeight="1" thickBot="1" x14ac:dyDescent="0.3">
      <c r="A200" s="64"/>
      <c r="B200" s="47" t="s">
        <v>59</v>
      </c>
      <c r="C200" s="34">
        <f>SUM(C197:C199)</f>
        <v>1.5</v>
      </c>
      <c r="D200" s="34"/>
      <c r="E200" s="35">
        <f>SUM(E197:E199)</f>
        <v>8206.25</v>
      </c>
      <c r="F200" s="34">
        <f>SUM(F197:F199)</f>
        <v>0</v>
      </c>
      <c r="G200" s="35">
        <f t="shared" si="79"/>
        <v>8206.25</v>
      </c>
      <c r="H200" s="35"/>
      <c r="I200" s="35">
        <f>SUM(I198:I199)</f>
        <v>102.375</v>
      </c>
      <c r="J200" s="35"/>
      <c r="K200" s="35">
        <f>SUM(K197:K199)</f>
        <v>1894.5</v>
      </c>
      <c r="L200" s="35">
        <f>SUM(L197:L199)</f>
        <v>5290.5</v>
      </c>
      <c r="M200" s="35"/>
      <c r="N200" s="35"/>
      <c r="O200" s="35"/>
      <c r="P200" s="35">
        <f>P198+P199</f>
        <v>2432.25</v>
      </c>
      <c r="Q200" s="35"/>
      <c r="R200" s="35">
        <f>SUM(R197:R199)</f>
        <v>17925.875</v>
      </c>
      <c r="S200" s="36">
        <f>SUM(S197:S199)</f>
        <v>148362.375</v>
      </c>
    </row>
    <row r="201" spans="1:20" ht="22.2" customHeight="1" x14ac:dyDescent="0.25">
      <c r="A201" s="15"/>
      <c r="B201" s="55" t="s">
        <v>276</v>
      </c>
      <c r="C201" s="85"/>
      <c r="D201" s="85"/>
      <c r="E201" s="94"/>
      <c r="F201" s="85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110"/>
    </row>
    <row r="202" spans="1:20" x14ac:dyDescent="0.25">
      <c r="A202" s="20" t="s">
        <v>277</v>
      </c>
      <c r="B202" s="21" t="s">
        <v>220</v>
      </c>
      <c r="C202" s="22">
        <v>1</v>
      </c>
      <c r="D202" s="22">
        <v>10</v>
      </c>
      <c r="E202" s="23">
        <f>6315*C202</f>
        <v>6315</v>
      </c>
      <c r="F202" s="22"/>
      <c r="G202" s="23">
        <f t="shared" ref="G202:G205" si="80">E202+F202</f>
        <v>6315</v>
      </c>
      <c r="H202" s="23"/>
      <c r="I202" s="23"/>
      <c r="J202" s="23"/>
      <c r="K202" s="23">
        <f>G202*0.3</f>
        <v>1894.5</v>
      </c>
      <c r="L202" s="23">
        <f>13500-G202-K202</f>
        <v>5290.5</v>
      </c>
      <c r="M202" s="23"/>
      <c r="N202" s="23"/>
      <c r="O202" s="23"/>
      <c r="P202" s="23"/>
      <c r="Q202" s="23"/>
      <c r="R202" s="23">
        <f>G202+K202+L202</f>
        <v>13500</v>
      </c>
      <c r="S202" s="25">
        <f>R202*9</f>
        <v>121500</v>
      </c>
    </row>
    <row r="203" spans="1:20" x14ac:dyDescent="0.25">
      <c r="A203" s="20" t="s">
        <v>278</v>
      </c>
      <c r="B203" s="21" t="s">
        <v>134</v>
      </c>
      <c r="C203" s="22">
        <v>0.25</v>
      </c>
      <c r="D203" s="22">
        <v>3</v>
      </c>
      <c r="E203" s="23">
        <f>4095*C203</f>
        <v>1023.75</v>
      </c>
      <c r="F203" s="22"/>
      <c r="G203" s="23">
        <f t="shared" si="80"/>
        <v>1023.75</v>
      </c>
      <c r="H203" s="23"/>
      <c r="I203" s="23">
        <f>G203*0.1</f>
        <v>102.375</v>
      </c>
      <c r="J203" s="23"/>
      <c r="K203" s="23"/>
      <c r="L203" s="23"/>
      <c r="M203" s="23"/>
      <c r="N203" s="23"/>
      <c r="O203" s="23"/>
      <c r="P203" s="23">
        <f>8647*0.25-G203</f>
        <v>1138</v>
      </c>
      <c r="Q203" s="23"/>
      <c r="R203" s="23">
        <f>E203+I203+P203</f>
        <v>2264.125</v>
      </c>
      <c r="S203" s="25">
        <f>R203*9</f>
        <v>20377.125</v>
      </c>
    </row>
    <row r="204" spans="1:20" s="38" customFormat="1" x14ac:dyDescent="0.25">
      <c r="A204" s="20" t="s">
        <v>279</v>
      </c>
      <c r="B204" s="21" t="s">
        <v>267</v>
      </c>
      <c r="C204" s="22">
        <v>0.25</v>
      </c>
      <c r="D204" s="22">
        <v>1</v>
      </c>
      <c r="E204" s="23">
        <f>3470*C204</f>
        <v>867.5</v>
      </c>
      <c r="F204" s="22"/>
      <c r="G204" s="23">
        <f t="shared" si="80"/>
        <v>867.5</v>
      </c>
      <c r="H204" s="23"/>
      <c r="I204" s="23"/>
      <c r="J204" s="23"/>
      <c r="K204" s="23"/>
      <c r="L204" s="23"/>
      <c r="M204" s="23"/>
      <c r="N204" s="23"/>
      <c r="O204" s="23"/>
      <c r="P204" s="23">
        <f>8647*0.25-G204</f>
        <v>1294.25</v>
      </c>
      <c r="Q204" s="23"/>
      <c r="R204" s="23">
        <f>E204+P204</f>
        <v>2161.75</v>
      </c>
      <c r="S204" s="25">
        <f>R204*3</f>
        <v>6485.25</v>
      </c>
    </row>
    <row r="205" spans="1:20" s="27" customFormat="1" ht="28.2" customHeight="1" thickBot="1" x14ac:dyDescent="0.3">
      <c r="A205" s="64"/>
      <c r="B205" s="47" t="s">
        <v>59</v>
      </c>
      <c r="C205" s="34">
        <f>SUM(C202:C204)</f>
        <v>1.5</v>
      </c>
      <c r="D205" s="34"/>
      <c r="E205" s="35">
        <f>SUM(E202:E204)</f>
        <v>8206.25</v>
      </c>
      <c r="F205" s="34">
        <f>SUM(F202:F204)</f>
        <v>0</v>
      </c>
      <c r="G205" s="35">
        <f t="shared" si="80"/>
        <v>8206.25</v>
      </c>
      <c r="H205" s="35"/>
      <c r="I205" s="35">
        <f>SUM(I203:I204)</f>
        <v>102.375</v>
      </c>
      <c r="J205" s="35"/>
      <c r="K205" s="35">
        <f>K202</f>
        <v>1894.5</v>
      </c>
      <c r="L205" s="35">
        <f>SUM(L202:L204)</f>
        <v>5290.5</v>
      </c>
      <c r="M205" s="35"/>
      <c r="N205" s="35"/>
      <c r="O205" s="35"/>
      <c r="P205" s="35">
        <f>P203+P204</f>
        <v>2432.25</v>
      </c>
      <c r="Q205" s="35"/>
      <c r="R205" s="35">
        <f>SUM(R202:R204)</f>
        <v>17925.875</v>
      </c>
      <c r="S205" s="36">
        <f>SUM(S202:S204)</f>
        <v>148362.375</v>
      </c>
    </row>
    <row r="206" spans="1:20" ht="24" customHeight="1" x14ac:dyDescent="0.25">
      <c r="A206" s="15"/>
      <c r="B206" s="55" t="s">
        <v>280</v>
      </c>
      <c r="C206" s="85"/>
      <c r="D206" s="85"/>
      <c r="E206" s="94"/>
      <c r="F206" s="85"/>
      <c r="G206" s="94"/>
      <c r="H206" s="94"/>
      <c r="I206" s="94"/>
      <c r="J206" s="94"/>
      <c r="K206" s="94"/>
      <c r="L206" s="94"/>
      <c r="M206" s="94"/>
      <c r="N206" s="94"/>
      <c r="O206" s="94"/>
      <c r="P206" s="94"/>
      <c r="Q206" s="94"/>
      <c r="R206" s="94"/>
      <c r="S206" s="110"/>
    </row>
    <row r="207" spans="1:20" x14ac:dyDescent="0.25">
      <c r="A207" s="20" t="s">
        <v>281</v>
      </c>
      <c r="B207" s="21" t="s">
        <v>130</v>
      </c>
      <c r="C207" s="22">
        <v>0.5</v>
      </c>
      <c r="D207" s="22">
        <v>8</v>
      </c>
      <c r="E207" s="23">
        <f>5691*C207</f>
        <v>2845.5</v>
      </c>
      <c r="F207" s="22"/>
      <c r="G207" s="23">
        <f t="shared" ref="G207:G209" si="81">E207+F207</f>
        <v>2845.5</v>
      </c>
      <c r="H207" s="23"/>
      <c r="I207" s="23"/>
      <c r="J207" s="23"/>
      <c r="K207" s="23">
        <f>G207*0.3</f>
        <v>853.65</v>
      </c>
      <c r="L207" s="23">
        <f>R207-K207-G207</f>
        <v>3050.8500000000004</v>
      </c>
      <c r="M207" s="23"/>
      <c r="N207" s="23"/>
      <c r="O207" s="23"/>
      <c r="P207" s="23"/>
      <c r="Q207" s="23"/>
      <c r="R207" s="23">
        <v>6750</v>
      </c>
      <c r="S207" s="25">
        <f>R207*9</f>
        <v>60750</v>
      </c>
    </row>
    <row r="208" spans="1:20" s="38" customFormat="1" x14ac:dyDescent="0.25">
      <c r="A208" s="20" t="s">
        <v>282</v>
      </c>
      <c r="B208" s="21" t="s">
        <v>134</v>
      </c>
      <c r="C208" s="22">
        <v>0.5</v>
      </c>
      <c r="D208" s="22">
        <v>3</v>
      </c>
      <c r="E208" s="23">
        <f>4095*C208</f>
        <v>2047.5</v>
      </c>
      <c r="F208" s="22"/>
      <c r="G208" s="23">
        <f t="shared" si="81"/>
        <v>2047.5</v>
      </c>
      <c r="H208" s="23"/>
      <c r="I208" s="23">
        <f>G208*0.1</f>
        <v>204.75</v>
      </c>
      <c r="J208" s="23"/>
      <c r="K208" s="23"/>
      <c r="L208" s="23"/>
      <c r="M208" s="23"/>
      <c r="N208" s="23"/>
      <c r="O208" s="23"/>
      <c r="P208" s="23">
        <f>8647/2-G208</f>
        <v>2276</v>
      </c>
      <c r="Q208" s="23"/>
      <c r="R208" s="23">
        <f>SUM(G208:Q208)</f>
        <v>4528.25</v>
      </c>
      <c r="S208" s="25">
        <f>R208*9</f>
        <v>40754.25</v>
      </c>
    </row>
    <row r="209" spans="1:20" s="27" customFormat="1" ht="25.8" customHeight="1" thickBot="1" x14ac:dyDescent="0.3">
      <c r="A209" s="64"/>
      <c r="B209" s="47" t="s">
        <v>59</v>
      </c>
      <c r="C209" s="34">
        <f>SUM(C207:C208)</f>
        <v>1</v>
      </c>
      <c r="D209" s="34"/>
      <c r="E209" s="35">
        <f>SUM(E207:E208)</f>
        <v>4893</v>
      </c>
      <c r="F209" s="34">
        <f>SUM(F207:F208)</f>
        <v>0</v>
      </c>
      <c r="G209" s="35">
        <f t="shared" si="81"/>
        <v>4893</v>
      </c>
      <c r="H209" s="35"/>
      <c r="I209" s="35">
        <f>SUM(I208)</f>
        <v>204.75</v>
      </c>
      <c r="J209" s="35"/>
      <c r="K209" s="35">
        <f>SUM(K207:K208)</f>
        <v>853.65</v>
      </c>
      <c r="L209" s="35">
        <f>SUM(L207:L208)</f>
        <v>3050.8500000000004</v>
      </c>
      <c r="M209" s="35"/>
      <c r="N209" s="35"/>
      <c r="O209" s="35"/>
      <c r="P209" s="35">
        <f>SUM(P208)</f>
        <v>2276</v>
      </c>
      <c r="Q209" s="35"/>
      <c r="R209" s="35">
        <f>SUM(R207:R208)</f>
        <v>11278.25</v>
      </c>
      <c r="S209" s="36">
        <f>SUM(S207:S208)</f>
        <v>101504.25</v>
      </c>
    </row>
    <row r="210" spans="1:20" ht="22.2" customHeight="1" x14ac:dyDescent="0.25">
      <c r="A210" s="15"/>
      <c r="B210" s="55" t="s">
        <v>283</v>
      </c>
      <c r="C210" s="85"/>
      <c r="D210" s="85"/>
      <c r="E210" s="94"/>
      <c r="F210" s="85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  <c r="R210" s="94"/>
      <c r="S210" s="110"/>
    </row>
    <row r="211" spans="1:20" s="13" customFormat="1" x14ac:dyDescent="0.25">
      <c r="A211" s="20" t="s">
        <v>284</v>
      </c>
      <c r="B211" s="66" t="s">
        <v>130</v>
      </c>
      <c r="C211" s="22">
        <v>0.5</v>
      </c>
      <c r="D211" s="22">
        <v>10</v>
      </c>
      <c r="E211" s="23">
        <f>6315*C211</f>
        <v>3157.5</v>
      </c>
      <c r="F211" s="22"/>
      <c r="G211" s="23">
        <f t="shared" ref="G211:G214" si="82">E211+F211</f>
        <v>3157.5</v>
      </c>
      <c r="H211" s="23"/>
      <c r="I211" s="23"/>
      <c r="J211" s="23"/>
      <c r="K211" s="23">
        <f>G211*0.3</f>
        <v>947.25</v>
      </c>
      <c r="L211" s="23">
        <f>13500/2-G211-K211</f>
        <v>2645.25</v>
      </c>
      <c r="M211" s="23"/>
      <c r="N211" s="23"/>
      <c r="O211" s="23"/>
      <c r="P211" s="23"/>
      <c r="Q211" s="23"/>
      <c r="R211" s="23">
        <f>G211+K211+L211</f>
        <v>6750</v>
      </c>
      <c r="S211" s="25">
        <f>R211*9</f>
        <v>60750</v>
      </c>
    </row>
    <row r="212" spans="1:20" x14ac:dyDescent="0.25">
      <c r="A212" s="20" t="s">
        <v>285</v>
      </c>
      <c r="B212" s="21" t="s">
        <v>134</v>
      </c>
      <c r="C212" s="22">
        <v>0.5</v>
      </c>
      <c r="D212" s="22">
        <v>3</v>
      </c>
      <c r="E212" s="23">
        <f>4095*C212</f>
        <v>2047.5</v>
      </c>
      <c r="F212" s="22"/>
      <c r="G212" s="23">
        <f t="shared" si="82"/>
        <v>2047.5</v>
      </c>
      <c r="H212" s="23"/>
      <c r="I212" s="23">
        <f>G212*0.1</f>
        <v>204.75</v>
      </c>
      <c r="J212" s="23"/>
      <c r="K212" s="23"/>
      <c r="L212" s="23"/>
      <c r="M212" s="23"/>
      <c r="N212" s="23"/>
      <c r="O212" s="23"/>
      <c r="P212" s="23">
        <f>8647/2-G212</f>
        <v>2276</v>
      </c>
      <c r="Q212" s="23"/>
      <c r="R212" s="23">
        <f>SUM(G212:Q212)</f>
        <v>4528.25</v>
      </c>
      <c r="S212" s="25">
        <f>R212*9</f>
        <v>40754.25</v>
      </c>
    </row>
    <row r="213" spans="1:20" x14ac:dyDescent="0.25">
      <c r="A213" s="20" t="s">
        <v>286</v>
      </c>
      <c r="B213" s="21" t="s">
        <v>227</v>
      </c>
      <c r="C213" s="22">
        <v>1</v>
      </c>
      <c r="D213" s="22">
        <v>1</v>
      </c>
      <c r="E213" s="23">
        <f>3470*C213</f>
        <v>3470</v>
      </c>
      <c r="F213" s="22"/>
      <c r="G213" s="23">
        <f t="shared" si="82"/>
        <v>3470</v>
      </c>
      <c r="H213" s="23"/>
      <c r="I213" s="23"/>
      <c r="J213" s="23"/>
      <c r="K213" s="23"/>
      <c r="L213" s="23"/>
      <c r="M213" s="23"/>
      <c r="N213" s="23"/>
      <c r="O213" s="23"/>
      <c r="P213" s="23">
        <f>8647-G213</f>
        <v>5177</v>
      </c>
      <c r="Q213" s="23"/>
      <c r="R213" s="23">
        <f>E213+P213</f>
        <v>8647</v>
      </c>
      <c r="S213" s="25">
        <f>R213*3</f>
        <v>25941</v>
      </c>
    </row>
    <row r="214" spans="1:20" s="49" customFormat="1" ht="26.4" customHeight="1" thickBot="1" x14ac:dyDescent="0.3">
      <c r="A214" s="118"/>
      <c r="B214" s="47" t="s">
        <v>59</v>
      </c>
      <c r="C214" s="34">
        <f>SUM(C211:C213)</f>
        <v>2</v>
      </c>
      <c r="D214" s="34"/>
      <c r="E214" s="35">
        <f>SUM(E211:E213)</f>
        <v>8675</v>
      </c>
      <c r="F214" s="34">
        <f>SUM(F211:F213)</f>
        <v>0</v>
      </c>
      <c r="G214" s="35">
        <f t="shared" si="82"/>
        <v>8675</v>
      </c>
      <c r="H214" s="35"/>
      <c r="I214" s="35">
        <f>SUM(I212:I213)</f>
        <v>204.75</v>
      </c>
      <c r="J214" s="35"/>
      <c r="K214" s="35">
        <f>SUM(K211:K213)</f>
        <v>947.25</v>
      </c>
      <c r="L214" s="35">
        <f>SUM(L211:L213)</f>
        <v>2645.25</v>
      </c>
      <c r="M214" s="35"/>
      <c r="N214" s="35"/>
      <c r="O214" s="35"/>
      <c r="P214" s="35">
        <f>P212+P213</f>
        <v>7453</v>
      </c>
      <c r="Q214" s="35"/>
      <c r="R214" s="35">
        <f>SUM(R211:R213)</f>
        <v>19925.25</v>
      </c>
      <c r="S214" s="36">
        <f>SUM(S211:S213)</f>
        <v>127445.25</v>
      </c>
    </row>
    <row r="215" spans="1:20" ht="21" customHeight="1" x14ac:dyDescent="0.25">
      <c r="A215" s="15"/>
      <c r="B215" s="55" t="s">
        <v>287</v>
      </c>
      <c r="C215" s="85"/>
      <c r="D215" s="85"/>
      <c r="E215" s="94"/>
      <c r="F215" s="85"/>
      <c r="G215" s="94"/>
      <c r="H215" s="94"/>
      <c r="I215" s="94"/>
      <c r="J215" s="94"/>
      <c r="K215" s="94"/>
      <c r="L215" s="94"/>
      <c r="M215" s="94"/>
      <c r="N215" s="94"/>
      <c r="O215" s="94"/>
      <c r="P215" s="94"/>
      <c r="Q215" s="94"/>
      <c r="R215" s="94"/>
      <c r="S215" s="110"/>
    </row>
    <row r="216" spans="1:20" ht="25.2" customHeight="1" x14ac:dyDescent="0.25">
      <c r="A216" s="20" t="s">
        <v>288</v>
      </c>
      <c r="B216" s="21" t="s">
        <v>220</v>
      </c>
      <c r="C216" s="22">
        <v>1</v>
      </c>
      <c r="D216" s="22">
        <v>10</v>
      </c>
      <c r="E216" s="23">
        <f>6315*C216</f>
        <v>6315</v>
      </c>
      <c r="F216" s="22"/>
      <c r="G216" s="23">
        <f t="shared" ref="G216:G220" si="83">E216+F216</f>
        <v>6315</v>
      </c>
      <c r="H216" s="23"/>
      <c r="I216" s="23"/>
      <c r="J216" s="23"/>
      <c r="K216" s="23">
        <f>G216*0.3</f>
        <v>1894.5</v>
      </c>
      <c r="L216" s="23">
        <f>R216-K216-G216</f>
        <v>5290.5</v>
      </c>
      <c r="M216" s="23"/>
      <c r="N216" s="23"/>
      <c r="O216" s="23"/>
      <c r="P216" s="23"/>
      <c r="Q216" s="23"/>
      <c r="R216" s="23">
        <v>13500</v>
      </c>
      <c r="S216" s="25">
        <f>R216*9</f>
        <v>121500</v>
      </c>
    </row>
    <row r="217" spans="1:20" ht="24" customHeight="1" x14ac:dyDescent="0.25">
      <c r="A217" s="20" t="s">
        <v>289</v>
      </c>
      <c r="B217" s="21" t="s">
        <v>130</v>
      </c>
      <c r="C217" s="22">
        <v>1</v>
      </c>
      <c r="D217" s="22">
        <v>7</v>
      </c>
      <c r="E217" s="23">
        <f>5344*C217</f>
        <v>5344</v>
      </c>
      <c r="F217" s="22"/>
      <c r="G217" s="23">
        <f t="shared" si="83"/>
        <v>5344</v>
      </c>
      <c r="H217" s="23"/>
      <c r="I217" s="23">
        <f>G217*0.1</f>
        <v>534.4</v>
      </c>
      <c r="J217" s="23"/>
      <c r="K217" s="23">
        <f>G217*0.3</f>
        <v>1603.2</v>
      </c>
      <c r="L217" s="23">
        <f>13500-G217-I217-K217</f>
        <v>6018.4000000000005</v>
      </c>
      <c r="M217" s="23"/>
      <c r="N217" s="23"/>
      <c r="O217" s="23"/>
      <c r="P217" s="23"/>
      <c r="Q217" s="23"/>
      <c r="R217" s="23">
        <f>G217+I217+K217+L217</f>
        <v>13500</v>
      </c>
      <c r="S217" s="25">
        <f t="shared" ref="S217:S218" si="84">R217*9</f>
        <v>121500</v>
      </c>
    </row>
    <row r="218" spans="1:20" ht="25.2" customHeight="1" x14ac:dyDescent="0.25">
      <c r="A218" s="20" t="s">
        <v>290</v>
      </c>
      <c r="B218" s="21" t="s">
        <v>134</v>
      </c>
      <c r="C218" s="22">
        <v>1</v>
      </c>
      <c r="D218" s="22">
        <v>3</v>
      </c>
      <c r="E218" s="23">
        <f>4095*C218</f>
        <v>4095</v>
      </c>
      <c r="F218" s="22"/>
      <c r="G218" s="23">
        <f t="shared" si="83"/>
        <v>4095</v>
      </c>
      <c r="H218" s="23"/>
      <c r="I218" s="23">
        <f>G218*0.1</f>
        <v>409.5</v>
      </c>
      <c r="J218" s="23"/>
      <c r="K218" s="23"/>
      <c r="L218" s="23"/>
      <c r="M218" s="23"/>
      <c r="N218" s="23"/>
      <c r="O218" s="23"/>
      <c r="P218" s="23">
        <f>8647-G218</f>
        <v>4552</v>
      </c>
      <c r="Q218" s="23"/>
      <c r="R218" s="23">
        <f>SUM(G218:Q218)</f>
        <v>9056.5</v>
      </c>
      <c r="S218" s="25">
        <f t="shared" si="84"/>
        <v>81508.5</v>
      </c>
    </row>
    <row r="219" spans="1:20" ht="31.8" customHeight="1" x14ac:dyDescent="0.25">
      <c r="A219" s="20" t="s">
        <v>291</v>
      </c>
      <c r="B219" s="21" t="s">
        <v>227</v>
      </c>
      <c r="C219" s="22">
        <v>1.5</v>
      </c>
      <c r="D219" s="22">
        <v>1</v>
      </c>
      <c r="E219" s="23">
        <f>3470*C219</f>
        <v>5205</v>
      </c>
      <c r="F219" s="22"/>
      <c r="G219" s="23">
        <f t="shared" si="83"/>
        <v>5205</v>
      </c>
      <c r="H219" s="23"/>
      <c r="I219" s="23"/>
      <c r="J219" s="23"/>
      <c r="K219" s="23"/>
      <c r="L219" s="23"/>
      <c r="M219" s="23"/>
      <c r="N219" s="23"/>
      <c r="O219" s="23"/>
      <c r="P219" s="23">
        <f>8647*C219-G219</f>
        <v>7765.5</v>
      </c>
      <c r="Q219" s="23"/>
      <c r="R219" s="23">
        <f>E219+P219</f>
        <v>12970.5</v>
      </c>
      <c r="S219" s="25">
        <f>R219*3</f>
        <v>38911.5</v>
      </c>
    </row>
    <row r="220" spans="1:20" s="27" customFormat="1" ht="26.4" customHeight="1" thickBot="1" x14ac:dyDescent="0.3">
      <c r="A220" s="64"/>
      <c r="B220" s="47" t="s">
        <v>59</v>
      </c>
      <c r="C220" s="34">
        <f>SUM(C216:C219)</f>
        <v>4.5</v>
      </c>
      <c r="D220" s="34"/>
      <c r="E220" s="35">
        <f>SUM(E216:E219)</f>
        <v>20959</v>
      </c>
      <c r="F220" s="34">
        <f>SUM(F216:F219)</f>
        <v>0</v>
      </c>
      <c r="G220" s="35">
        <f t="shared" si="83"/>
        <v>20959</v>
      </c>
      <c r="H220" s="35"/>
      <c r="I220" s="35">
        <f>SUM(I217:I219)</f>
        <v>943.9</v>
      </c>
      <c r="J220" s="35"/>
      <c r="K220" s="35">
        <f>K216+K217</f>
        <v>3497.7</v>
      </c>
      <c r="L220" s="35">
        <f>L216+L217</f>
        <v>11308.900000000001</v>
      </c>
      <c r="M220" s="35"/>
      <c r="N220" s="35"/>
      <c r="O220" s="35"/>
      <c r="P220" s="35">
        <f>SUM(P216:P219)</f>
        <v>12317.5</v>
      </c>
      <c r="Q220" s="35"/>
      <c r="R220" s="35">
        <f>SUM(R216:R219)</f>
        <v>49027</v>
      </c>
      <c r="S220" s="36">
        <f>SUM(S216:S219)</f>
        <v>363420</v>
      </c>
    </row>
    <row r="221" spans="1:20" s="13" customFormat="1" ht="22.2" customHeight="1" x14ac:dyDescent="0.2">
      <c r="A221" s="18"/>
      <c r="B221" s="55" t="s">
        <v>292</v>
      </c>
      <c r="C221" s="85"/>
      <c r="D221" s="85"/>
      <c r="E221" s="94"/>
      <c r="F221" s="85"/>
      <c r="G221" s="94"/>
      <c r="H221" s="94"/>
      <c r="I221" s="94"/>
      <c r="J221" s="94"/>
      <c r="K221" s="94"/>
      <c r="L221" s="94"/>
      <c r="M221" s="94"/>
      <c r="N221" s="94"/>
      <c r="O221" s="94"/>
      <c r="P221" s="94"/>
      <c r="Q221" s="94"/>
      <c r="R221" s="94"/>
      <c r="S221" s="110"/>
    </row>
    <row r="222" spans="1:20" ht="24" customHeight="1" x14ac:dyDescent="0.25">
      <c r="A222" s="20" t="s">
        <v>293</v>
      </c>
      <c r="B222" s="21" t="s">
        <v>220</v>
      </c>
      <c r="C222" s="22">
        <v>1</v>
      </c>
      <c r="D222" s="22">
        <v>10</v>
      </c>
      <c r="E222" s="23">
        <f>6315*C222</f>
        <v>6315</v>
      </c>
      <c r="F222" s="22"/>
      <c r="G222" s="23">
        <f t="shared" ref="G222:G224" si="85">E222+F222</f>
        <v>6315</v>
      </c>
      <c r="H222" s="23"/>
      <c r="I222" s="23"/>
      <c r="J222" s="23"/>
      <c r="K222" s="23">
        <f>G222*0.3</f>
        <v>1894.5</v>
      </c>
      <c r="L222" s="23">
        <f>R222-K222-G222</f>
        <v>5290.5</v>
      </c>
      <c r="M222" s="23"/>
      <c r="N222" s="23"/>
      <c r="O222" s="23"/>
      <c r="P222" s="23"/>
      <c r="Q222" s="23"/>
      <c r="R222" s="23">
        <v>13500</v>
      </c>
      <c r="S222" s="25">
        <f>R222*9</f>
        <v>121500</v>
      </c>
    </row>
    <row r="223" spans="1:20" s="38" customFormat="1" ht="25.8" customHeight="1" x14ac:dyDescent="0.25">
      <c r="A223" s="20" t="s">
        <v>294</v>
      </c>
      <c r="B223" s="21" t="s">
        <v>134</v>
      </c>
      <c r="C223" s="22">
        <v>0.5</v>
      </c>
      <c r="D223" s="22">
        <v>3</v>
      </c>
      <c r="E223" s="23">
        <f>4095*C223</f>
        <v>2047.5</v>
      </c>
      <c r="F223" s="22"/>
      <c r="G223" s="23">
        <f t="shared" si="85"/>
        <v>2047.5</v>
      </c>
      <c r="H223" s="23"/>
      <c r="I223" s="23">
        <f>G223*0.1</f>
        <v>204.75</v>
      </c>
      <c r="J223" s="23"/>
      <c r="K223" s="23"/>
      <c r="L223" s="23"/>
      <c r="M223" s="23"/>
      <c r="N223" s="23"/>
      <c r="O223" s="23"/>
      <c r="P223" s="23">
        <f>8647/2-G223</f>
        <v>2276</v>
      </c>
      <c r="Q223" s="23"/>
      <c r="R223" s="23">
        <f>SUM(G223:Q223)</f>
        <v>4528.25</v>
      </c>
      <c r="S223" s="25">
        <f>R223*9</f>
        <v>40754.25</v>
      </c>
      <c r="T223" s="46"/>
    </row>
    <row r="224" spans="1:20" s="27" customFormat="1" ht="27.6" customHeight="1" thickBot="1" x14ac:dyDescent="0.3">
      <c r="A224" s="64"/>
      <c r="B224" s="47" t="s">
        <v>59</v>
      </c>
      <c r="C224" s="34">
        <f>SUM(C222:C223)</f>
        <v>1.5</v>
      </c>
      <c r="D224" s="34"/>
      <c r="E224" s="35">
        <f>SUM(E222:E223)</f>
        <v>8362.5</v>
      </c>
      <c r="F224" s="34">
        <f>SUM(F222:F223)</f>
        <v>0</v>
      </c>
      <c r="G224" s="35">
        <f t="shared" si="85"/>
        <v>8362.5</v>
      </c>
      <c r="H224" s="35"/>
      <c r="I224" s="35">
        <f>SUM(I223)</f>
        <v>204.75</v>
      </c>
      <c r="J224" s="35"/>
      <c r="K224" s="35">
        <f>SUM(K222:K223)</f>
        <v>1894.5</v>
      </c>
      <c r="L224" s="35">
        <f>SUM(L222:L223)</f>
        <v>5290.5</v>
      </c>
      <c r="M224" s="35"/>
      <c r="N224" s="35"/>
      <c r="O224" s="35"/>
      <c r="P224" s="35">
        <f>SUM(P223)</f>
        <v>2276</v>
      </c>
      <c r="Q224" s="35"/>
      <c r="R224" s="35">
        <f>SUM(R222:R223)</f>
        <v>18028.25</v>
      </c>
      <c r="S224" s="36">
        <f>SUM(S222:S223)</f>
        <v>162254.25</v>
      </c>
    </row>
    <row r="225" spans="1:19" ht="22.2" customHeight="1" x14ac:dyDescent="0.25">
      <c r="A225" s="15"/>
      <c r="B225" s="55" t="s">
        <v>295</v>
      </c>
      <c r="C225" s="85"/>
      <c r="D225" s="85"/>
      <c r="E225" s="94"/>
      <c r="F225" s="85"/>
      <c r="G225" s="94"/>
      <c r="H225" s="94"/>
      <c r="I225" s="94"/>
      <c r="J225" s="94"/>
      <c r="K225" s="94"/>
      <c r="L225" s="94"/>
      <c r="M225" s="94"/>
      <c r="N225" s="94"/>
      <c r="O225" s="94"/>
      <c r="P225" s="94"/>
      <c r="Q225" s="94"/>
      <c r="R225" s="94"/>
      <c r="S225" s="110"/>
    </row>
    <row r="226" spans="1:19" ht="31.2" customHeight="1" x14ac:dyDescent="0.25">
      <c r="A226" s="20" t="s">
        <v>296</v>
      </c>
      <c r="B226" s="21" t="s">
        <v>130</v>
      </c>
      <c r="C226" s="22">
        <v>0.5</v>
      </c>
      <c r="D226" s="22">
        <v>10</v>
      </c>
      <c r="E226" s="23">
        <f>6315*C226</f>
        <v>3157.5</v>
      </c>
      <c r="F226" s="22"/>
      <c r="G226" s="23">
        <f t="shared" ref="G226:G227" si="86">E226+F226</f>
        <v>3157.5</v>
      </c>
      <c r="H226" s="23"/>
      <c r="I226" s="23"/>
      <c r="J226" s="23"/>
      <c r="K226" s="23">
        <f>G226*0.3</f>
        <v>947.25</v>
      </c>
      <c r="L226" s="23">
        <f>13500/2-G226-K226</f>
        <v>2645.25</v>
      </c>
      <c r="M226" s="23"/>
      <c r="N226" s="23"/>
      <c r="O226" s="23"/>
      <c r="P226" s="23"/>
      <c r="Q226" s="23"/>
      <c r="R226" s="23">
        <f>G226+K226+L226</f>
        <v>6750</v>
      </c>
      <c r="S226" s="25">
        <f>R226*9</f>
        <v>60750</v>
      </c>
    </row>
    <row r="227" spans="1:19" s="27" customFormat="1" ht="25.8" customHeight="1" thickBot="1" x14ac:dyDescent="0.3">
      <c r="A227" s="64"/>
      <c r="B227" s="47" t="s">
        <v>59</v>
      </c>
      <c r="C227" s="34">
        <f>SUM(C226:C226)</f>
        <v>0.5</v>
      </c>
      <c r="D227" s="34"/>
      <c r="E227" s="35">
        <f>SUM(E226:E226)</f>
        <v>3157.5</v>
      </c>
      <c r="F227" s="34">
        <f>SUM(F226:F226)</f>
        <v>0</v>
      </c>
      <c r="G227" s="35">
        <f t="shared" si="86"/>
        <v>3157.5</v>
      </c>
      <c r="H227" s="35"/>
      <c r="I227" s="35">
        <v>0</v>
      </c>
      <c r="J227" s="35"/>
      <c r="K227" s="35">
        <f>SUM(K226:K226)</f>
        <v>947.25</v>
      </c>
      <c r="L227" s="35">
        <f>SUM(L226:L226)</f>
        <v>2645.25</v>
      </c>
      <c r="M227" s="35"/>
      <c r="N227" s="35"/>
      <c r="O227" s="35"/>
      <c r="P227" s="35">
        <v>0</v>
      </c>
      <c r="Q227" s="35"/>
      <c r="R227" s="35">
        <f>SUM(R226:R226)</f>
        <v>6750</v>
      </c>
      <c r="S227" s="36">
        <f>SUM(S226:S226)</f>
        <v>60750</v>
      </c>
    </row>
    <row r="228" spans="1:19" ht="18.600000000000001" customHeight="1" x14ac:dyDescent="0.25">
      <c r="A228" s="15"/>
      <c r="B228" s="55" t="s">
        <v>298</v>
      </c>
      <c r="C228" s="85"/>
      <c r="D228" s="85"/>
      <c r="E228" s="94"/>
      <c r="F228" s="85"/>
      <c r="G228" s="94"/>
      <c r="H228" s="94"/>
      <c r="I228" s="94"/>
      <c r="J228" s="94"/>
      <c r="K228" s="94"/>
      <c r="L228" s="94"/>
      <c r="M228" s="94"/>
      <c r="N228" s="94"/>
      <c r="O228" s="94"/>
      <c r="P228" s="94"/>
      <c r="Q228" s="94"/>
      <c r="R228" s="94"/>
      <c r="S228" s="110"/>
    </row>
    <row r="229" spans="1:19" x14ac:dyDescent="0.25">
      <c r="A229" s="20" t="s">
        <v>299</v>
      </c>
      <c r="B229" s="21" t="s">
        <v>130</v>
      </c>
      <c r="C229" s="22">
        <v>0.5</v>
      </c>
      <c r="D229" s="22">
        <v>10</v>
      </c>
      <c r="E229" s="23">
        <f>6315*C229</f>
        <v>3157.5</v>
      </c>
      <c r="F229" s="22"/>
      <c r="G229" s="23">
        <f t="shared" ref="G229:G231" si="87">E229+F229</f>
        <v>3157.5</v>
      </c>
      <c r="H229" s="23"/>
      <c r="I229" s="23"/>
      <c r="J229" s="23"/>
      <c r="K229" s="23">
        <f>G229*0.3</f>
        <v>947.25</v>
      </c>
      <c r="L229" s="23">
        <f>13500/2-G229-K229</f>
        <v>2645.25</v>
      </c>
      <c r="M229" s="23"/>
      <c r="N229" s="23"/>
      <c r="O229" s="23"/>
      <c r="P229" s="23"/>
      <c r="Q229" s="23"/>
      <c r="R229" s="23">
        <f>G229+K229+L229</f>
        <v>6750</v>
      </c>
      <c r="S229" s="25">
        <f>R229*9</f>
        <v>60750</v>
      </c>
    </row>
    <row r="230" spans="1:19" s="38" customFormat="1" x14ac:dyDescent="0.25">
      <c r="A230" s="20" t="s">
        <v>300</v>
      </c>
      <c r="B230" s="21" t="s">
        <v>134</v>
      </c>
      <c r="C230" s="22">
        <v>0.25</v>
      </c>
      <c r="D230" s="22">
        <v>3</v>
      </c>
      <c r="E230" s="23">
        <f>4095*C230</f>
        <v>1023.75</v>
      </c>
      <c r="F230" s="22"/>
      <c r="G230" s="23">
        <f t="shared" si="87"/>
        <v>1023.75</v>
      </c>
      <c r="H230" s="23"/>
      <c r="I230" s="23">
        <f>G230*0.1</f>
        <v>102.375</v>
      </c>
      <c r="J230" s="23"/>
      <c r="K230" s="23"/>
      <c r="L230" s="23"/>
      <c r="M230" s="23"/>
      <c r="N230" s="23"/>
      <c r="O230" s="23"/>
      <c r="P230" s="23">
        <f>8647*0.25-G230</f>
        <v>1138</v>
      </c>
      <c r="Q230" s="23"/>
      <c r="R230" s="23">
        <f>E230+I230+P230</f>
        <v>2264.125</v>
      </c>
      <c r="S230" s="25">
        <f>R230*9</f>
        <v>20377.125</v>
      </c>
    </row>
    <row r="231" spans="1:19" s="27" customFormat="1" ht="27" customHeight="1" thickBot="1" x14ac:dyDescent="0.3">
      <c r="A231" s="64"/>
      <c r="B231" s="47" t="s">
        <v>59</v>
      </c>
      <c r="C231" s="34">
        <f>SUM(C229:C230)</f>
        <v>0.75</v>
      </c>
      <c r="D231" s="34"/>
      <c r="E231" s="35">
        <f>SUM(E229:E230)</f>
        <v>4181.25</v>
      </c>
      <c r="F231" s="34">
        <f>SUM(F229:F230)</f>
        <v>0</v>
      </c>
      <c r="G231" s="35">
        <f t="shared" si="87"/>
        <v>4181.25</v>
      </c>
      <c r="H231" s="35"/>
      <c r="I231" s="35">
        <f>SUM(I230)</f>
        <v>102.375</v>
      </c>
      <c r="J231" s="35"/>
      <c r="K231" s="35">
        <f>SUM(K229:K230)</f>
        <v>947.25</v>
      </c>
      <c r="L231" s="35">
        <f>SUM(L229:L230)</f>
        <v>2645.25</v>
      </c>
      <c r="M231" s="35"/>
      <c r="N231" s="35"/>
      <c r="O231" s="35"/>
      <c r="P231" s="35">
        <f>SUM(P230)</f>
        <v>1138</v>
      </c>
      <c r="Q231" s="35"/>
      <c r="R231" s="35">
        <f>SUM(R229:R230)</f>
        <v>9014.125</v>
      </c>
      <c r="S231" s="36">
        <f>SUM(S229:S230)</f>
        <v>81127.125</v>
      </c>
    </row>
    <row r="232" spans="1:19" s="49" customFormat="1" ht="23.25" customHeight="1" thickBot="1" x14ac:dyDescent="0.3">
      <c r="A232" s="67"/>
      <c r="B232" s="119" t="s">
        <v>301</v>
      </c>
      <c r="C232" s="120">
        <f>C27+C38+C46+C41+C54+C60+C81+C126+C110+C116+C139+C150+C156+C163+C170+C179+C184+C224+C220+C214+C200+C205+C227+C231+C190+C209+C195+C143+C120</f>
        <v>190.5</v>
      </c>
      <c r="D232" s="121"/>
      <c r="E232" s="120">
        <f t="shared" ref="E232:S232" si="88">E27+E38+E46+E41+E54+E60+E81+E126+E110+E116+E139+E150+E156+E163+E170+E179+E184+E220+E224+E214+E200+E205+E227+E190+E209+E195+E143+E231+E120</f>
        <v>1178625.25</v>
      </c>
      <c r="F232" s="120">
        <f t="shared" si="88"/>
        <v>31740.262500000001</v>
      </c>
      <c r="G232" s="120">
        <f t="shared" si="88"/>
        <v>1210365.5125</v>
      </c>
      <c r="H232" s="120">
        <f t="shared" si="88"/>
        <v>25878</v>
      </c>
      <c r="I232" s="120">
        <f t="shared" si="88"/>
        <v>29433.47625</v>
      </c>
      <c r="J232" s="120">
        <f t="shared" si="88"/>
        <v>534.096</v>
      </c>
      <c r="K232" s="120">
        <f t="shared" si="88"/>
        <v>240503.83875</v>
      </c>
      <c r="L232" s="120">
        <f t="shared" si="88"/>
        <v>790882.65500000014</v>
      </c>
      <c r="M232" s="120">
        <f t="shared" si="88"/>
        <v>3750</v>
      </c>
      <c r="N232" s="120">
        <f t="shared" si="88"/>
        <v>24335.990000000005</v>
      </c>
      <c r="O232" s="120">
        <f t="shared" si="88"/>
        <v>150863</v>
      </c>
      <c r="P232" s="120">
        <f t="shared" si="88"/>
        <v>262809.5</v>
      </c>
      <c r="Q232" s="120">
        <f t="shared" si="88"/>
        <v>0</v>
      </c>
      <c r="R232" s="120">
        <f t="shared" si="88"/>
        <v>2739121.7684999998</v>
      </c>
      <c r="S232" s="120">
        <f t="shared" si="88"/>
        <v>24366744.916500002</v>
      </c>
    </row>
    <row r="233" spans="1:19" ht="12.6" thickBot="1" x14ac:dyDescent="0.3">
      <c r="F233" s="13"/>
      <c r="I233" s="68"/>
    </row>
    <row r="234" spans="1:19" ht="15.6" customHeight="1" x14ac:dyDescent="0.25">
      <c r="B234" s="69" t="s">
        <v>302</v>
      </c>
      <c r="C234" s="70">
        <f>C48+C49+C56+C57+C58+C63+C64+C65+C66+C67+C68+C122+C123+C83+C84+C85+C86+C87+C88+C89+C99+C94+C90+C91+C74+C97+C95+C93+C92+C100+C98+C101+C112+C113+C132+C128+C133+C134+C145+C152+C158+C165+C172+C173+C174+C181+C140+C69+C70+C71+C72+C73+C118+C119+C96</f>
        <v>49.75</v>
      </c>
      <c r="D234" s="70"/>
      <c r="E234" s="70">
        <f>E48+E49+E56+E57+E58+E63+E64+E65+E66+E67+E68+E122+E123+E83+E84+E85+E86+E87+E88+E89+E99+E94+E90+E91+E74+E97+E95+E93+E92+E100+E98+E101+E112+E113+E132+E128+E133+E134+E145+E152+E158+E165+E172+E173+E174+E181+E140+E69+E70+E71+E72+E73+E118+E119+E96</f>
        <v>377864.5</v>
      </c>
      <c r="F234" s="70"/>
      <c r="G234" s="70"/>
      <c r="H234" s="70"/>
      <c r="I234" s="70"/>
      <c r="J234" s="70"/>
      <c r="K234" s="70"/>
      <c r="L234" s="70"/>
      <c r="M234" s="70"/>
      <c r="N234" s="70"/>
      <c r="O234" s="70"/>
      <c r="P234" s="70"/>
      <c r="Q234" s="70" t="e">
        <f>Q48+Q49+Q56+Q57+Q58+Q63+Q64+Q65+Q66+Q67+Q68+Q122+Q123+Q83+Q84+Q85+Q86+Q87+Q88+Q89+Q99+Q94+Q90+#REF!+Q91+Q74+Q97+Q95+Q93+Q92+Q100+Q98+Q101+Q112+Q113+Q132+Q128+Q133+Q134+Q145+Q152+Q158+Q165+Q172+Q173+Q174+Q181+Q140+Q69+Q70+Q71+Q72+Q73+Q118+Q119</f>
        <v>#REF!</v>
      </c>
      <c r="R234" s="70">
        <f>R48+R49+R56+R57+R58+R63+R64+R65+R66+R67+R68+R122+R123+R83+R84+R85+R86+R87+R88+R89+R99+R94+R90+R91+R74+R97+R95+R93+R92+R100+R98+R101+R112+R113+R132+R128+R133+R134+R145+R152+R158+R165+R172+R173+R174+R181+R140+R69+R70+R71+R72+R73+R118+R119+R96</f>
        <v>980000</v>
      </c>
      <c r="S234" s="70">
        <f>S48+S49+S56+S57+S58+S63+S64+S65+S66+S67+S68+S122+S123+S83+S84+S85+S86+S87+S88+S89+S99+S94+S90+S91+S74+S97+S95+S93+S92+S100+S98+S101+S112+S113+S132+S128+S133+S134+S145+S152+S158+S165+S172+S173+S174+S181+S140+S69+S70+S71+S72+S73+S118+S119+S96</f>
        <v>8820000</v>
      </c>
    </row>
    <row r="235" spans="1:19" ht="15.6" customHeight="1" x14ac:dyDescent="0.25">
      <c r="B235" s="71" t="s">
        <v>303</v>
      </c>
      <c r="C235" s="72">
        <f>C17+C50+C53+C75+C76+C77+C124+C102+C105+C106+C103+C104+C107+C114+C129+C135+C136+C137+C146+C153+C154+C159+C160+C166+C167+C175+C176+C182+C217+C216+C222+C211+C197+C202+C226+C187+C207+C192+C141+C229</f>
        <v>69</v>
      </c>
      <c r="D235" s="72"/>
      <c r="E235" s="123">
        <f>E17+E50+E53+E75+E76+E77+E124+E102+E105+E106+E103+E104+E107+E114+E129+E135+E136+E137+E146+E153+E154+E159+E160+E166+E167+E175+E176+E182+E217+E216+E222+E211+E197+E202+E226+E187+E207+E192+E141+E229</f>
        <v>420034.5</v>
      </c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Q235" s="72">
        <f>Q17+Q50+Q53+Q75+Q76+Q77+Q124+Q102+Q105+Q106+Q103+Q104+Q107+Q114+Q129+Q135+Q136+Q137+Q146+Q153+Q154+Q159+Q160+Q166+Q167+Q175+Q176+Q182+Q217+Q216+Q222+Q211+Q197+Q202+Q226+Q187+Q207+Q192+Q141+Q229</f>
        <v>0</v>
      </c>
      <c r="R235" s="72">
        <f>R17+R50+R53+R75+R76+R77+R124+R102+R105+R106+R103+R104+R107+R114+R129+R135+R136+R137+R146+R153+R154+R159+R160+R166+R167+R175+R176+R182+R217+R216+R222+R211+R197+R202+R226+R187+R207+R192+R141+R229</f>
        <v>929177.67999999993</v>
      </c>
      <c r="S235" s="89">
        <f>S17+S50+S53+S75+S76+S77+S124+S102+S105+S106+S103+S104+S107+S114+S129+S135+S136+S137+S146+S153+S154+S159+S160+S166+S167+S175+S176+S182+S217+S216+S222+S211+S197+S202+S226+S187+S207+S192+S141+S229</f>
        <v>8362599.1200000001</v>
      </c>
    </row>
    <row r="236" spans="1:19" ht="15.6" customHeight="1" x14ac:dyDescent="0.25">
      <c r="B236" s="71" t="s">
        <v>304</v>
      </c>
      <c r="C236" s="72">
        <f>C78+C79+C125+C109+C115+C138+C147+C155+C161+C168+C177+C183+C218+C223+C212+C198+C203+C188+C208+C193+C230</f>
        <v>26.75</v>
      </c>
      <c r="D236" s="72"/>
      <c r="E236" s="123">
        <f>E78+E79+E125+E109+E115+E138+E147+E155+E161+E168+E177+E183+E218+E223+E212+E198+E203+E188+E208+E193+E230</f>
        <v>112193.25</v>
      </c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 t="e">
        <f>Q78+Q79+Q125+Q109+Q115+Q138+Q147+Q155+Q161+Q168+Q177+Q183+Q218+Q223+Q212+Q198+Q203+#REF!+Q188+Q208+Q193+Q230</f>
        <v>#REF!</v>
      </c>
      <c r="R236" s="123">
        <f>R78+R79+R125+R109+R115+R138+R147+R155+R161+R168+R177+R183+R218+R223+R212+R198+R203+R188+R208+R193+R230</f>
        <v>248650.94249999998</v>
      </c>
      <c r="S236" s="124">
        <f>S78+S79+S125+S109+S115+S138+S147+S155+S161+S168+S177+S183+S218+S223+S212+S198+S203+S188+S208+S193+S230</f>
        <v>2237858.4824999999</v>
      </c>
    </row>
    <row r="237" spans="1:19" ht="15.6" customHeight="1" x14ac:dyDescent="0.25">
      <c r="B237" s="71" t="s">
        <v>305</v>
      </c>
      <c r="C237" s="72">
        <f>C14+C15+C16+C18+C19+C20+C21+C22+C23+C24+C25+C26+C29+C31+C32+C33+C35+C36+C37+C43+C44+C45+C40+C51+C52+C59+C80+C108+C148+C149+C162+C169+C178+C219+C213+C199+C204+C189+C194+C142+C34+C30</f>
        <v>45</v>
      </c>
      <c r="D237" s="72"/>
      <c r="E237" s="123">
        <f>E14+E15+E16+E18+E19+E20+E21+E22+E23+E24+E25+E26+E29+E31+E32+E33+E35+E36+E37+E43+E44+E45+E40+E51+E52+E59+E80+E108+E148+E149+E162+E169+E178+E219+E213+E199+E204+E189+E194+E142+E34+E30</f>
        <v>268533</v>
      </c>
      <c r="F237" s="72"/>
      <c r="G237" s="72"/>
      <c r="H237" s="72" t="s">
        <v>8</v>
      </c>
      <c r="I237" s="72"/>
      <c r="J237" s="72"/>
      <c r="K237" s="72"/>
      <c r="L237" s="72"/>
      <c r="M237" s="72"/>
      <c r="N237" s="72"/>
      <c r="O237" s="72"/>
      <c r="P237" s="72"/>
      <c r="Q237" s="72">
        <f>Q14+Q15+Q16+Q18+Q19+Q20+Q21+Q22+Q23+Q24+Q25+Q26+Q29+Q31+Q32+Q33+Q35+Q36+Q37+Q43+Q44+Q45+Q40+Q51+Q52+Q59+Q80+Q108+Q148+Q149+Q162+Q169+Q178+Q219+Q213+Q199+Q204+Q189+Q194+Q142+Q34</f>
        <v>0</v>
      </c>
      <c r="R237" s="123">
        <f>R14+R15+R16+R18+R19+R20+R21+R22+R23+R24+R25+R26+R29+R31+R32+R33+R35+R36+R37+R43+R44+R45+R40+R51+R52+R59+R80+R108+R148+R149+R162+R169+R178+R219+R213+R199+R204+R189+R194+R142+R34+R30</f>
        <v>581293.14600000007</v>
      </c>
      <c r="S237" s="123">
        <f>S14+S15+S16+S18+S19+S20+S21+S22+S23+S24+S25+S26+S29+S31+S32+S33+S35+S36+S37+S43+S44+S45+S40+S51+S52+S59+S80+S108+S148+S149+S162+S169+S178+S219+S213+S199+S204+S189+S194+S142+S34+S30</f>
        <v>4946287.3139999993</v>
      </c>
    </row>
    <row r="238" spans="1:19" ht="12.6" thickBot="1" x14ac:dyDescent="0.3">
      <c r="B238" s="73" t="s">
        <v>306</v>
      </c>
      <c r="C238" s="74">
        <f>SUBTOTAL(9,C234:C237)</f>
        <v>190.5</v>
      </c>
      <c r="D238" s="74"/>
      <c r="E238" s="75">
        <f>SUBTOTAL(9,E234:E237)</f>
        <v>1178625.25</v>
      </c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 t="e">
        <f t="shared" ref="Q238:S238" si="89">SUBTOTAL(9,Q234:Q237)</f>
        <v>#REF!</v>
      </c>
      <c r="R238" s="75">
        <f>R234+R235+R236+R237</f>
        <v>2739121.7685000002</v>
      </c>
      <c r="S238" s="76">
        <f t="shared" si="89"/>
        <v>24366744.916499998</v>
      </c>
    </row>
    <row r="239" spans="1:19" ht="19.95" customHeight="1" x14ac:dyDescent="0.25">
      <c r="R239" s="53"/>
    </row>
    <row r="240" spans="1:19" ht="19.2" customHeight="1" x14ac:dyDescent="0.3">
      <c r="B240" s="77" t="s">
        <v>307</v>
      </c>
      <c r="C240" s="78"/>
      <c r="D240" s="78"/>
      <c r="E240" s="79">
        <f>E238</f>
        <v>1178625.25</v>
      </c>
      <c r="G240" s="80"/>
      <c r="H240" s="81"/>
      <c r="I240" s="82"/>
    </row>
    <row r="241" spans="2:10" x14ac:dyDescent="0.25">
      <c r="B241" s="77" t="s">
        <v>346</v>
      </c>
      <c r="E241" s="52">
        <f>S232+E240</f>
        <v>25545370.166500002</v>
      </c>
    </row>
    <row r="243" spans="2:10" ht="15.6" x14ac:dyDescent="0.3">
      <c r="C243" s="83"/>
      <c r="D243" s="83"/>
      <c r="E243" s="83"/>
      <c r="F243" s="83"/>
      <c r="G243" s="83"/>
      <c r="H243" s="83"/>
      <c r="I243" s="83"/>
      <c r="J243" s="83"/>
    </row>
    <row r="244" spans="2:10" ht="15.6" x14ac:dyDescent="0.3">
      <c r="C244" s="83" t="s">
        <v>3</v>
      </c>
      <c r="D244" s="83"/>
      <c r="E244" s="83"/>
      <c r="F244" s="83"/>
      <c r="G244" s="83"/>
      <c r="H244" s="83" t="s">
        <v>349</v>
      </c>
      <c r="I244" s="83"/>
      <c r="J244" s="83"/>
    </row>
    <row r="245" spans="2:10" ht="15.6" x14ac:dyDescent="0.3">
      <c r="C245" s="83"/>
      <c r="D245" s="83"/>
      <c r="E245" s="83"/>
      <c r="F245" s="83"/>
      <c r="G245" s="83"/>
      <c r="H245" s="83"/>
      <c r="I245" s="83"/>
      <c r="J245" s="83"/>
    </row>
    <row r="246" spans="2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2:10" ht="15.6" x14ac:dyDescent="0.3">
      <c r="C247" s="143"/>
      <c r="D247" s="143"/>
      <c r="E247" s="143"/>
      <c r="F247" s="83"/>
      <c r="G247" s="83"/>
      <c r="H247" s="83"/>
      <c r="I247" s="83"/>
      <c r="J247" s="83"/>
    </row>
    <row r="248" spans="2:10" ht="15.6" x14ac:dyDescent="0.3">
      <c r="C248" s="83"/>
      <c r="D248" s="84"/>
      <c r="E248" s="84"/>
      <c r="F248" s="83"/>
      <c r="G248" s="83"/>
      <c r="H248" s="83"/>
      <c r="I248" s="83"/>
      <c r="J248" s="83"/>
    </row>
    <row r="249" spans="2:10" ht="15.6" x14ac:dyDescent="0.3">
      <c r="C249" s="83"/>
      <c r="D249" s="83"/>
      <c r="E249" s="83"/>
      <c r="F249" s="83"/>
      <c r="G249" s="83"/>
      <c r="H249" s="83"/>
      <c r="I249" s="83"/>
      <c r="J249" s="83"/>
    </row>
    <row r="250" spans="2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2:10" ht="15.6" x14ac:dyDescent="0.3">
      <c r="C251" s="83"/>
      <c r="D251" s="83"/>
      <c r="E251" s="83"/>
      <c r="F251" s="83"/>
      <c r="G251" s="83"/>
      <c r="H251" s="83"/>
      <c r="I251" s="83"/>
      <c r="J251" s="83"/>
    </row>
    <row r="252" spans="2:10" ht="15.6" x14ac:dyDescent="0.3">
      <c r="C252" s="83"/>
      <c r="D252" s="83"/>
      <c r="E252" s="83"/>
      <c r="F252" s="83"/>
      <c r="G252" s="83"/>
      <c r="H252" s="83"/>
      <c r="I252" s="83"/>
      <c r="J252" s="83"/>
    </row>
    <row r="253" spans="2:10" ht="15.6" x14ac:dyDescent="0.3">
      <c r="C253" s="143"/>
      <c r="D253" s="144"/>
      <c r="E253" s="144"/>
      <c r="F253" s="83"/>
      <c r="G253" s="83"/>
      <c r="H253" s="83"/>
      <c r="I253" s="83"/>
      <c r="J253" s="83"/>
    </row>
    <row r="254" spans="2:10" ht="15.6" x14ac:dyDescent="0.3">
      <c r="C254" s="83"/>
      <c r="D254" s="84"/>
      <c r="E254" s="84"/>
      <c r="F254" s="83"/>
      <c r="G254" s="83"/>
      <c r="H254" s="83"/>
      <c r="I254" s="83"/>
      <c r="J254" s="83"/>
    </row>
    <row r="255" spans="2:10" ht="15.6" x14ac:dyDescent="0.3">
      <c r="C255" s="83"/>
      <c r="D255" s="83"/>
      <c r="E255" s="83"/>
      <c r="F255" s="83"/>
      <c r="G255" s="83"/>
      <c r="H255" s="83"/>
      <c r="I255" s="83"/>
      <c r="J255" s="83"/>
    </row>
    <row r="256" spans="2:10" ht="15.6" x14ac:dyDescent="0.3">
      <c r="C256" s="83"/>
      <c r="D256" s="83"/>
      <c r="E256" s="83"/>
      <c r="F256" s="83"/>
      <c r="G256" s="83"/>
      <c r="H256" s="83"/>
      <c r="I256" s="83"/>
      <c r="J256" s="83"/>
    </row>
  </sheetData>
  <mergeCells count="29">
    <mergeCell ref="C253:E253"/>
    <mergeCell ref="O11:O12"/>
    <mergeCell ref="P11:P12"/>
    <mergeCell ref="Q11:Q12"/>
    <mergeCell ref="R11:R12"/>
    <mergeCell ref="S11:S12"/>
    <mergeCell ref="C247:E247"/>
    <mergeCell ref="F11:F12"/>
    <mergeCell ref="G11:G12"/>
    <mergeCell ref="H11:K11"/>
    <mergeCell ref="L11:L12"/>
    <mergeCell ref="M11:M12"/>
    <mergeCell ref="N11:N12"/>
    <mergeCell ref="M6:S6"/>
    <mergeCell ref="O8:P8"/>
    <mergeCell ref="S8:AH8"/>
    <mergeCell ref="B9:R9"/>
    <mergeCell ref="B10:R10"/>
    <mergeCell ref="A11:A12"/>
    <mergeCell ref="B11:B12"/>
    <mergeCell ref="C11:C12"/>
    <mergeCell ref="D11:D12"/>
    <mergeCell ref="E11:E12"/>
    <mergeCell ref="B1:S1"/>
    <mergeCell ref="M2:S2"/>
    <mergeCell ref="B3:D3"/>
    <mergeCell ref="M3:S3"/>
    <mergeCell ref="B5:D5"/>
    <mergeCell ref="M5:P5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47B61-8D82-44EC-8A42-D85EFC7C5A57}">
  <dimension ref="A1:AI256"/>
  <sheetViews>
    <sheetView view="pageBreakPreview" topLeftCell="A217" zoomScale="70" zoomScaleNormal="70" zoomScaleSheetLayoutView="70" workbookViewId="0">
      <selection activeCell="B10" sqref="B10:R10"/>
    </sheetView>
  </sheetViews>
  <sheetFormatPr defaultColWidth="8.88671875" defaultRowHeight="12" x14ac:dyDescent="0.25"/>
  <cols>
    <col min="1" max="1" width="5.109375" style="1" customWidth="1"/>
    <col min="2" max="2" width="48.6640625" style="2" customWidth="1"/>
    <col min="3" max="3" width="1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2" width="11.33203125" style="2" customWidth="1"/>
    <col min="13" max="13" width="10.21875" style="2" customWidth="1"/>
    <col min="14" max="14" width="9.88671875" style="2" customWidth="1"/>
    <col min="15" max="15" width="10" style="2" customWidth="1"/>
    <col min="16" max="16" width="9.44140625" style="2" customWidth="1"/>
    <col min="17" max="17" width="0.21875" style="2" customWidth="1"/>
    <col min="18" max="18" width="10.5546875" style="2" customWidth="1"/>
    <col min="19" max="19" width="14.1093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4"/>
      <c r="S1" s="16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63"/>
      <c r="N2" s="164"/>
      <c r="O2" s="164"/>
      <c r="P2" s="164"/>
      <c r="Q2" s="164"/>
      <c r="R2" s="164"/>
      <c r="S2" s="164"/>
    </row>
    <row r="3" spans="1:35" ht="40.799999999999997" customHeight="1" x14ac:dyDescent="0.35">
      <c r="B3" s="165" t="s">
        <v>0</v>
      </c>
      <c r="C3" s="166"/>
      <c r="D3" s="166"/>
      <c r="E3" s="4"/>
      <c r="F3" s="4"/>
      <c r="G3" s="4"/>
      <c r="H3" s="4"/>
      <c r="I3" s="4"/>
      <c r="J3" s="4"/>
      <c r="K3" s="4"/>
      <c r="L3" s="4"/>
      <c r="M3" s="167" t="s">
        <v>348</v>
      </c>
      <c r="N3" s="168"/>
      <c r="O3" s="168"/>
      <c r="P3" s="168"/>
      <c r="Q3" s="168"/>
      <c r="R3" s="168"/>
      <c r="S3" s="168"/>
    </row>
    <row r="4" spans="1:35" ht="17.399999999999999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 t="s">
        <v>347</v>
      </c>
      <c r="N4"/>
      <c r="O4"/>
      <c r="P4"/>
      <c r="Q4"/>
      <c r="R4"/>
      <c r="S4"/>
    </row>
    <row r="5" spans="1:35" ht="17.399999999999999" x14ac:dyDescent="0.3">
      <c r="B5" s="169" t="s">
        <v>2</v>
      </c>
      <c r="C5" s="169"/>
      <c r="D5" s="169"/>
      <c r="G5" s="8"/>
      <c r="H5" s="8"/>
      <c r="I5" s="8"/>
      <c r="J5" s="8"/>
      <c r="K5" s="8"/>
      <c r="L5" s="8"/>
      <c r="M5" s="143"/>
      <c r="N5" s="144"/>
      <c r="O5" s="144"/>
      <c r="P5" s="144"/>
      <c r="Q5" s="9"/>
      <c r="R5" s="9"/>
      <c r="S5" s="3"/>
    </row>
    <row r="6" spans="1:35" ht="29.4" customHeight="1" x14ac:dyDescent="0.3">
      <c r="B6" s="10"/>
      <c r="G6" s="11"/>
      <c r="H6" s="12"/>
      <c r="M6" s="155"/>
      <c r="N6" s="144"/>
      <c r="O6" s="144"/>
      <c r="P6" s="144"/>
      <c r="Q6" s="144"/>
      <c r="R6" s="144"/>
      <c r="S6" s="144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6" t="s">
        <v>354</v>
      </c>
      <c r="P8" s="157"/>
      <c r="Q8" s="13"/>
      <c r="R8" s="13"/>
      <c r="S8" s="158" t="s">
        <v>6</v>
      </c>
      <c r="T8" s="158"/>
      <c r="U8" s="158"/>
      <c r="V8" s="158"/>
      <c r="W8" s="158"/>
      <c r="X8" s="158"/>
      <c r="Y8" s="158"/>
      <c r="Z8" s="158"/>
      <c r="AA8" s="158"/>
      <c r="AB8" s="158"/>
      <c r="AC8" s="158"/>
      <c r="AD8" s="158"/>
      <c r="AE8" s="158"/>
      <c r="AF8" s="158"/>
      <c r="AG8" s="158"/>
      <c r="AH8" s="158"/>
      <c r="AI8" s="14"/>
    </row>
    <row r="9" spans="1:35" ht="23.4" customHeight="1" x14ac:dyDescent="0.3">
      <c r="B9" s="159" t="s">
        <v>7</v>
      </c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4" t="s">
        <v>8</v>
      </c>
    </row>
    <row r="10" spans="1:35" ht="27.6" customHeight="1" thickBot="1" x14ac:dyDescent="0.35">
      <c r="B10" s="160" t="s">
        <v>352</v>
      </c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</row>
    <row r="11" spans="1:35" ht="37.950000000000003" customHeight="1" x14ac:dyDescent="0.25">
      <c r="A11" s="161"/>
      <c r="B11" s="149" t="s">
        <v>10</v>
      </c>
      <c r="C11" s="151" t="s">
        <v>11</v>
      </c>
      <c r="D11" s="151" t="s">
        <v>12</v>
      </c>
      <c r="E11" s="151" t="s">
        <v>13</v>
      </c>
      <c r="F11" s="151" t="s">
        <v>14</v>
      </c>
      <c r="G11" s="151" t="s">
        <v>15</v>
      </c>
      <c r="H11" s="151" t="s">
        <v>16</v>
      </c>
      <c r="I11" s="151"/>
      <c r="J11" s="151"/>
      <c r="K11" s="151"/>
      <c r="L11" s="147" t="s">
        <v>17</v>
      </c>
      <c r="M11" s="147" t="s">
        <v>18</v>
      </c>
      <c r="N11" s="147" t="s">
        <v>19</v>
      </c>
      <c r="O11" s="145" t="s">
        <v>20</v>
      </c>
      <c r="P11" s="147" t="s">
        <v>21</v>
      </c>
      <c r="Q11" s="149"/>
      <c r="R11" s="151" t="s">
        <v>22</v>
      </c>
      <c r="S11" s="153" t="s">
        <v>353</v>
      </c>
    </row>
    <row r="12" spans="1:35" ht="64.95" customHeight="1" thickBot="1" x14ac:dyDescent="0.3">
      <c r="A12" s="162"/>
      <c r="B12" s="150"/>
      <c r="C12" s="152"/>
      <c r="D12" s="152"/>
      <c r="E12" s="152"/>
      <c r="F12" s="152"/>
      <c r="G12" s="152"/>
      <c r="H12" s="16" t="s">
        <v>24</v>
      </c>
      <c r="I12" s="17" t="s">
        <v>25</v>
      </c>
      <c r="J12" s="17" t="s">
        <v>26</v>
      </c>
      <c r="K12" s="16" t="s">
        <v>27</v>
      </c>
      <c r="L12" s="148"/>
      <c r="M12" s="148"/>
      <c r="N12" s="148"/>
      <c r="O12" s="146"/>
      <c r="P12" s="148"/>
      <c r="Q12" s="150"/>
      <c r="R12" s="152"/>
      <c r="S12" s="154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R14*8</f>
        <v>430000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R15*8</f>
        <v>180000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180000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6315</v>
      </c>
      <c r="F17" s="23"/>
      <c r="G17" s="23">
        <f>E17</f>
        <v>6315</v>
      </c>
      <c r="H17" s="23">
        <f>G17*0.5</f>
        <v>3157.5</v>
      </c>
      <c r="I17" s="23" t="s">
        <v>37</v>
      </c>
      <c r="J17" s="24"/>
      <c r="K17" s="22">
        <f>G17*0.3</f>
        <v>1894.5</v>
      </c>
      <c r="L17" s="23"/>
      <c r="M17" s="24"/>
      <c r="N17" s="23"/>
      <c r="O17" s="26">
        <f>G17*200%</f>
        <v>12630</v>
      </c>
      <c r="P17" s="24"/>
      <c r="Q17" s="22"/>
      <c r="R17" s="23">
        <f>N17+K17+H17+E17+L17+O17</f>
        <v>23997</v>
      </c>
      <c r="S17" s="25">
        <f t="shared" si="0"/>
        <v>191976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6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320000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5691*C19</f>
        <v>11382</v>
      </c>
      <c r="F19" s="23"/>
      <c r="G19" s="23">
        <f t="shared" si="1"/>
        <v>11382</v>
      </c>
      <c r="H19" s="23">
        <f t="shared" ref="H19:H26" si="2">G19*0.5</f>
        <v>5691</v>
      </c>
      <c r="I19" s="23"/>
      <c r="J19" s="23"/>
      <c r="K19" s="23"/>
      <c r="L19" s="23" t="s">
        <v>44</v>
      </c>
      <c r="M19" s="23"/>
      <c r="N19" s="23"/>
      <c r="O19" s="23">
        <f>E19*200%</f>
        <v>22764</v>
      </c>
      <c r="P19" s="23" t="s">
        <v>8</v>
      </c>
      <c r="Q19" s="23"/>
      <c r="R19" s="23">
        <f>G19+H19+O19</f>
        <v>39837</v>
      </c>
      <c r="S19" s="25">
        <f t="shared" si="0"/>
        <v>318696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9</v>
      </c>
      <c r="E20" s="23">
        <v>6003</v>
      </c>
      <c r="F20" s="23"/>
      <c r="G20" s="23">
        <f t="shared" si="1"/>
        <v>6003</v>
      </c>
      <c r="H20" s="23">
        <f t="shared" si="2"/>
        <v>3001.5</v>
      </c>
      <c r="I20" s="23"/>
      <c r="J20" s="23"/>
      <c r="K20" s="23"/>
      <c r="L20" s="23" t="s">
        <v>44</v>
      </c>
      <c r="M20" s="23"/>
      <c r="N20" s="23"/>
      <c r="O20" s="23">
        <f>E20*200%</f>
        <v>12006</v>
      </c>
      <c r="P20" s="23" t="s">
        <v>8</v>
      </c>
      <c r="Q20" s="23"/>
      <c r="R20" s="23">
        <f>G20+H20+O20</f>
        <v>21010.5</v>
      </c>
      <c r="S20" s="25">
        <f t="shared" si="0"/>
        <v>168084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5691</v>
      </c>
      <c r="F21" s="22"/>
      <c r="G21" s="23">
        <f t="shared" si="1"/>
        <v>5691</v>
      </c>
      <c r="H21" s="23">
        <f t="shared" si="2"/>
        <v>2845.5</v>
      </c>
      <c r="I21" s="24"/>
      <c r="J21" s="24"/>
      <c r="K21" s="22"/>
      <c r="L21" s="24"/>
      <c r="M21" s="24"/>
      <c r="N21" s="23"/>
      <c r="O21" s="23">
        <f>G21*200%</f>
        <v>11382</v>
      </c>
      <c r="P21" s="24"/>
      <c r="Q21" s="22"/>
      <c r="R21" s="23">
        <f t="shared" ref="R21:R25" si="3">G21+H21+O21</f>
        <v>19918.5</v>
      </c>
      <c r="S21" s="25">
        <f t="shared" si="0"/>
        <v>159348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5032</v>
      </c>
      <c r="F22" s="22"/>
      <c r="G22" s="23">
        <f t="shared" si="1"/>
        <v>5032</v>
      </c>
      <c r="H22" s="22">
        <f t="shared" si="2"/>
        <v>2516</v>
      </c>
      <c r="I22" s="24"/>
      <c r="J22" s="24"/>
      <c r="K22" s="22"/>
      <c r="L22" s="24"/>
      <c r="M22" s="24"/>
      <c r="N22" s="23"/>
      <c r="O22" s="23">
        <f>G22*200%</f>
        <v>10064</v>
      </c>
      <c r="P22" s="24"/>
      <c r="Q22" s="22"/>
      <c r="R22" s="23">
        <f t="shared" si="3"/>
        <v>17612</v>
      </c>
      <c r="S22" s="25">
        <f t="shared" si="0"/>
        <v>140896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5032*C23</f>
        <v>2516</v>
      </c>
      <c r="F23" s="22"/>
      <c r="G23" s="23">
        <f t="shared" si="1"/>
        <v>2516</v>
      </c>
      <c r="H23" s="22">
        <f t="shared" si="2"/>
        <v>1258</v>
      </c>
      <c r="I23" s="24"/>
      <c r="J23" s="24"/>
      <c r="K23" s="22"/>
      <c r="L23" s="24"/>
      <c r="M23" s="24"/>
      <c r="N23" s="23"/>
      <c r="O23" s="23">
        <f>G23*150%</f>
        <v>3774</v>
      </c>
      <c r="P23" s="24"/>
      <c r="Q23" s="22"/>
      <c r="R23" s="23">
        <f t="shared" si="3"/>
        <v>7548</v>
      </c>
      <c r="S23" s="25">
        <f t="shared" si="0"/>
        <v>60384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4407</v>
      </c>
      <c r="F24" s="22"/>
      <c r="G24" s="23">
        <f t="shared" si="1"/>
        <v>4407</v>
      </c>
      <c r="H24" s="22">
        <f t="shared" si="2"/>
        <v>2203.5</v>
      </c>
      <c r="I24" s="24"/>
      <c r="J24" s="24"/>
      <c r="K24" s="22"/>
      <c r="L24" s="24"/>
      <c r="M24" s="24"/>
      <c r="N24" s="23"/>
      <c r="O24" s="23">
        <f>G24*200%</f>
        <v>8814</v>
      </c>
      <c r="P24" s="24"/>
      <c r="Q24" s="22"/>
      <c r="R24" s="23">
        <f t="shared" si="3"/>
        <v>15424.5</v>
      </c>
      <c r="S24" s="25">
        <f t="shared" si="0"/>
        <v>123396</v>
      </c>
    </row>
    <row r="25" spans="1:19" x14ac:dyDescent="0.25">
      <c r="A25" s="20" t="s">
        <v>55</v>
      </c>
      <c r="B25" s="21" t="s">
        <v>56</v>
      </c>
      <c r="C25" s="22">
        <v>0.5</v>
      </c>
      <c r="D25" s="22">
        <v>9</v>
      </c>
      <c r="E25" s="23">
        <v>3001.5</v>
      </c>
      <c r="F25" s="23"/>
      <c r="G25" s="23">
        <f t="shared" si="1"/>
        <v>3001.5</v>
      </c>
      <c r="H25" s="23">
        <f t="shared" si="2"/>
        <v>1500.75</v>
      </c>
      <c r="I25" s="23"/>
      <c r="J25" s="23"/>
      <c r="K25" s="23"/>
      <c r="L25" s="23"/>
      <c r="M25" s="23"/>
      <c r="N25" s="23"/>
      <c r="O25" s="23">
        <f>G25*150%</f>
        <v>4502.25</v>
      </c>
      <c r="P25" s="23"/>
      <c r="Q25" s="23"/>
      <c r="R25" s="23">
        <f t="shared" si="3"/>
        <v>9004.5</v>
      </c>
      <c r="S25" s="25">
        <f t="shared" si="0"/>
        <v>72036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4407*C26</f>
        <v>4407</v>
      </c>
      <c r="F26" s="22"/>
      <c r="G26" s="23">
        <f t="shared" si="1"/>
        <v>4407</v>
      </c>
      <c r="H26" s="22">
        <f t="shared" si="2"/>
        <v>2203.5</v>
      </c>
      <c r="I26" s="24"/>
      <c r="J26" s="24"/>
      <c r="K26" s="22"/>
      <c r="L26" s="24"/>
      <c r="M26" s="24"/>
      <c r="N26" s="23"/>
      <c r="O26" s="23">
        <f>G26*150%</f>
        <v>6610.5</v>
      </c>
      <c r="P26" s="24"/>
      <c r="Q26" s="22"/>
      <c r="R26" s="23">
        <f>G26+H26+O26</f>
        <v>13221</v>
      </c>
      <c r="S26" s="25">
        <f t="shared" si="0"/>
        <v>105768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</v>
      </c>
      <c r="D27" s="34"/>
      <c r="E27" s="35">
        <f>SUM(E14:E26)</f>
        <v>138754.5</v>
      </c>
      <c r="F27" s="34"/>
      <c r="G27" s="35">
        <f>SUM(G14:G26)</f>
        <v>138754.5</v>
      </c>
      <c r="H27" s="34">
        <f>SUM(H14:H26)</f>
        <v>24377.25</v>
      </c>
      <c r="I27" s="90"/>
      <c r="J27" s="90"/>
      <c r="K27" s="34">
        <f>SUM(K14:K26)</f>
        <v>1894.5</v>
      </c>
      <c r="L27" s="90"/>
      <c r="M27" s="34">
        <f>SUM(M14:M26)</f>
        <v>3750</v>
      </c>
      <c r="N27" s="35"/>
      <c r="O27" s="35">
        <f>SUM(O14:O26)</f>
        <v>137546.75</v>
      </c>
      <c r="P27" s="90"/>
      <c r="Q27" s="34"/>
      <c r="R27" s="35">
        <f>SUM(R14:R26)</f>
        <v>306323</v>
      </c>
      <c r="S27" s="31">
        <f>SUM(S14:S26)</f>
        <v>2450584</v>
      </c>
    </row>
    <row r="28" spans="1:19" s="13" customFormat="1" ht="25.2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25"/>
    </row>
    <row r="29" spans="1:19" x14ac:dyDescent="0.25">
      <c r="A29" s="20" t="s">
        <v>61</v>
      </c>
      <c r="B29" s="21" t="s">
        <v>62</v>
      </c>
      <c r="C29" s="22">
        <v>1</v>
      </c>
      <c r="D29" s="22">
        <v>7</v>
      </c>
      <c r="E29" s="23">
        <f>5344*C29</f>
        <v>5344</v>
      </c>
      <c r="F29" s="22"/>
      <c r="G29" s="23">
        <f t="shared" ref="G29:G32" si="4">E29+F29</f>
        <v>5344</v>
      </c>
      <c r="H29" s="23"/>
      <c r="I29" s="23"/>
      <c r="J29" s="23"/>
      <c r="K29" s="23"/>
      <c r="L29" s="23"/>
      <c r="M29" s="23"/>
      <c r="N29" s="23"/>
      <c r="O29" s="23"/>
      <c r="P29" s="23">
        <f>8647*C29-G29</f>
        <v>3303</v>
      </c>
      <c r="Q29" s="23"/>
      <c r="R29" s="23">
        <f>G29+H29+I29+ J29+K29+L29+N29+O29+P29</f>
        <v>8647</v>
      </c>
      <c r="S29" s="25">
        <f>R29*8</f>
        <v>69176</v>
      </c>
    </row>
    <row r="30" spans="1:19" x14ac:dyDescent="0.25">
      <c r="A30" s="20" t="s">
        <v>61</v>
      </c>
      <c r="B30" s="21" t="s">
        <v>328</v>
      </c>
      <c r="C30" s="22">
        <v>0.5</v>
      </c>
      <c r="D30" s="22">
        <v>6</v>
      </c>
      <c r="E30" s="23">
        <f>5032*C30</f>
        <v>2516</v>
      </c>
      <c r="F30" s="22"/>
      <c r="G30" s="23">
        <f t="shared" si="4"/>
        <v>2516</v>
      </c>
      <c r="H30" s="23"/>
      <c r="I30" s="23"/>
      <c r="J30" s="23"/>
      <c r="K30" s="23"/>
      <c r="L30" s="23"/>
      <c r="M30" s="23"/>
      <c r="N30" s="23"/>
      <c r="O30" s="23"/>
      <c r="P30" s="23">
        <f>8647*C30-G30</f>
        <v>1807.5</v>
      </c>
      <c r="Q30" s="23"/>
      <c r="R30" s="23">
        <f>G30+H30+I30+ J30+K30+L30+N30+O30+P30</f>
        <v>4323.5</v>
      </c>
      <c r="S30" s="25">
        <f t="shared" ref="S30:S37" si="5">R30*8</f>
        <v>34588</v>
      </c>
    </row>
    <row r="31" spans="1:19" x14ac:dyDescent="0.25">
      <c r="A31" s="20" t="s">
        <v>63</v>
      </c>
      <c r="B31" s="21" t="s">
        <v>64</v>
      </c>
      <c r="C31" s="22">
        <v>0.5</v>
      </c>
      <c r="D31" s="22">
        <v>1</v>
      </c>
      <c r="E31" s="23">
        <f>3470*C31</f>
        <v>1735</v>
      </c>
      <c r="F31" s="22"/>
      <c r="G31" s="23">
        <f t="shared" si="4"/>
        <v>1735</v>
      </c>
      <c r="H31" s="23"/>
      <c r="I31" s="23"/>
      <c r="J31" s="23"/>
      <c r="K31" s="23"/>
      <c r="L31" s="23"/>
      <c r="M31" s="23"/>
      <c r="N31" s="23"/>
      <c r="O31" s="23"/>
      <c r="P31" s="23">
        <f>8647*C31-E31</f>
        <v>2588.5</v>
      </c>
      <c r="Q31" s="23"/>
      <c r="R31" s="23">
        <f t="shared" ref="R31:R32" si="6">G31+H31+I31+ J31+K31+L31+N31+O31+P31</f>
        <v>4323.5</v>
      </c>
      <c r="S31" s="25">
        <f t="shared" si="5"/>
        <v>34588</v>
      </c>
    </row>
    <row r="32" spans="1:19" x14ac:dyDescent="0.25">
      <c r="A32" s="20" t="s">
        <v>65</v>
      </c>
      <c r="B32" s="21" t="s">
        <v>66</v>
      </c>
      <c r="C32" s="22">
        <v>1.5</v>
      </c>
      <c r="D32" s="22">
        <v>1</v>
      </c>
      <c r="E32" s="23">
        <f>3470*C32</f>
        <v>5205</v>
      </c>
      <c r="F32" s="22"/>
      <c r="G32" s="23">
        <f t="shared" si="4"/>
        <v>5205</v>
      </c>
      <c r="H32" s="23"/>
      <c r="I32" s="23"/>
      <c r="J32" s="23"/>
      <c r="K32" s="23"/>
      <c r="L32" s="23"/>
      <c r="M32" s="23"/>
      <c r="N32" s="23"/>
      <c r="O32" s="23"/>
      <c r="P32" s="23">
        <f>8647*C32-G32</f>
        <v>7765.5</v>
      </c>
      <c r="Q32" s="23"/>
      <c r="R32" s="23">
        <f t="shared" si="6"/>
        <v>12970.5</v>
      </c>
      <c r="S32" s="25">
        <f t="shared" si="5"/>
        <v>103764</v>
      </c>
    </row>
    <row r="33" spans="1:19" x14ac:dyDescent="0.25">
      <c r="A33" s="20" t="s">
        <v>67</v>
      </c>
      <c r="B33" s="21" t="s">
        <v>68</v>
      </c>
      <c r="C33" s="22">
        <v>1.5</v>
      </c>
      <c r="D33" s="22">
        <v>3</v>
      </c>
      <c r="E33" s="23">
        <f>4095*C33</f>
        <v>6142.5</v>
      </c>
      <c r="F33" s="22"/>
      <c r="G33" s="23">
        <f t="shared" si="1"/>
        <v>6142.5</v>
      </c>
      <c r="H33" s="23"/>
      <c r="I33" s="23"/>
      <c r="J33" s="23"/>
      <c r="K33" s="23"/>
      <c r="L33" s="23"/>
      <c r="M33" s="23"/>
      <c r="N33" s="23"/>
      <c r="O33" s="23"/>
      <c r="P33" s="23">
        <f>8647*C33-G33</f>
        <v>6828</v>
      </c>
      <c r="Q33" s="23"/>
      <c r="R33" s="23">
        <f>G33+H33+I33+ J33+K33+L33+N33+O33+P33</f>
        <v>12970.5</v>
      </c>
      <c r="S33" s="25">
        <f t="shared" si="5"/>
        <v>103764</v>
      </c>
    </row>
    <row r="34" spans="1:19" ht="24" x14ac:dyDescent="0.25">
      <c r="A34" s="20" t="s">
        <v>67</v>
      </c>
      <c r="B34" s="21" t="s">
        <v>315</v>
      </c>
      <c r="C34" s="22">
        <v>0.5</v>
      </c>
      <c r="D34" s="22">
        <v>3</v>
      </c>
      <c r="E34" s="23">
        <f>4095*C34</f>
        <v>2047.5</v>
      </c>
      <c r="F34" s="22"/>
      <c r="G34" s="23">
        <f t="shared" si="1"/>
        <v>2047.5</v>
      </c>
      <c r="H34" s="23"/>
      <c r="I34" s="23"/>
      <c r="J34" s="23"/>
      <c r="K34" s="23"/>
      <c r="L34" s="23"/>
      <c r="M34" s="23"/>
      <c r="N34" s="23"/>
      <c r="O34" s="23"/>
      <c r="P34" s="23">
        <f>8647*C34-G34</f>
        <v>2276</v>
      </c>
      <c r="Q34" s="23"/>
      <c r="R34" s="23">
        <f>G34+H34+I34+ J34+K34+L34+N34+O34+P34</f>
        <v>4323.5</v>
      </c>
      <c r="S34" s="25">
        <f t="shared" si="5"/>
        <v>34588</v>
      </c>
    </row>
    <row r="35" spans="1:19" ht="12.6" customHeight="1" x14ac:dyDescent="0.25">
      <c r="A35" s="20" t="s">
        <v>69</v>
      </c>
      <c r="B35" s="21" t="s">
        <v>70</v>
      </c>
      <c r="C35" s="22">
        <v>1</v>
      </c>
      <c r="D35" s="22">
        <v>2</v>
      </c>
      <c r="E35" s="23">
        <f>3782*C35</f>
        <v>3782</v>
      </c>
      <c r="F35" s="22">
        <f>E35*0.2</f>
        <v>756.40000000000009</v>
      </c>
      <c r="G35" s="23">
        <f t="shared" si="1"/>
        <v>4538.3999999999996</v>
      </c>
      <c r="H35" s="23"/>
      <c r="I35" s="23"/>
      <c r="J35" s="23">
        <f>G35*4%</f>
        <v>181.536</v>
      </c>
      <c r="K35" s="23"/>
      <c r="L35" s="23"/>
      <c r="M35" s="23"/>
      <c r="N35" s="23"/>
      <c r="O35" s="23"/>
      <c r="P35" s="23">
        <f>8647-E35</f>
        <v>4865</v>
      </c>
      <c r="Q35" s="23"/>
      <c r="R35" s="23">
        <f>G35+J35+P35</f>
        <v>9584.9359999999997</v>
      </c>
      <c r="S35" s="25">
        <f t="shared" si="5"/>
        <v>76679.487999999998</v>
      </c>
    </row>
    <row r="36" spans="1:19" ht="18" customHeight="1" x14ac:dyDescent="0.25">
      <c r="A36" s="20" t="s">
        <v>71</v>
      </c>
      <c r="B36" s="21" t="s">
        <v>72</v>
      </c>
      <c r="C36" s="22">
        <v>1</v>
      </c>
      <c r="D36" s="22">
        <v>1</v>
      </c>
      <c r="E36" s="23">
        <f>3470*C36</f>
        <v>3470</v>
      </c>
      <c r="F36" s="22"/>
      <c r="G36" s="23">
        <f t="shared" si="1"/>
        <v>3470</v>
      </c>
      <c r="H36" s="23"/>
      <c r="I36" s="23"/>
      <c r="J36" s="23"/>
      <c r="K36" s="23"/>
      <c r="L36" s="23"/>
      <c r="M36" s="23"/>
      <c r="N36" s="23"/>
      <c r="O36" s="23"/>
      <c r="P36" s="23">
        <f>8647-G36</f>
        <v>5177</v>
      </c>
      <c r="Q36" s="23"/>
      <c r="R36" s="23">
        <f t="shared" ref="R36" si="7">G36+H36+I36+ J36+K36+L36+N36+O36+P36</f>
        <v>8647</v>
      </c>
      <c r="S36" s="25">
        <f t="shared" si="5"/>
        <v>69176</v>
      </c>
    </row>
    <row r="37" spans="1:19" x14ac:dyDescent="0.25">
      <c r="A37" s="20" t="s">
        <v>73</v>
      </c>
      <c r="B37" s="21" t="s">
        <v>74</v>
      </c>
      <c r="C37" s="22">
        <v>1</v>
      </c>
      <c r="D37" s="22">
        <v>5</v>
      </c>
      <c r="E37" s="23">
        <f>4719*C37</f>
        <v>4719</v>
      </c>
      <c r="F37" s="23"/>
      <c r="G37" s="23">
        <f>E37+F37</f>
        <v>4719</v>
      </c>
      <c r="H37" s="23"/>
      <c r="I37" s="23"/>
      <c r="J37" s="23"/>
      <c r="K37" s="23"/>
      <c r="L37" s="23"/>
      <c r="M37" s="23"/>
      <c r="N37" s="23"/>
      <c r="O37" s="23"/>
      <c r="P37" s="23">
        <f>8647-G37</f>
        <v>3928</v>
      </c>
      <c r="Q37" s="32"/>
      <c r="R37" s="23">
        <f>G37+P37</f>
        <v>8647</v>
      </c>
      <c r="S37" s="25">
        <f t="shared" si="5"/>
        <v>69176</v>
      </c>
    </row>
    <row r="38" spans="1:19" s="27" customFormat="1" ht="20.399999999999999" customHeight="1" thickBot="1" x14ac:dyDescent="0.3">
      <c r="A38" s="64"/>
      <c r="B38" s="47" t="s">
        <v>59</v>
      </c>
      <c r="C38" s="34">
        <f>SUM(C29:C37)</f>
        <v>8.5</v>
      </c>
      <c r="D38" s="34"/>
      <c r="E38" s="35">
        <f>SUM(E29:E37)</f>
        <v>34961</v>
      </c>
      <c r="F38" s="34">
        <f>SUM(F29:F37)</f>
        <v>756.40000000000009</v>
      </c>
      <c r="G38" s="35">
        <f>E38+F38</f>
        <v>35717.4</v>
      </c>
      <c r="H38" s="35"/>
      <c r="I38" s="35">
        <f>SUM(I29:I36)</f>
        <v>0</v>
      </c>
      <c r="J38" s="35">
        <f>SUM(J29:J36)</f>
        <v>181.536</v>
      </c>
      <c r="K38" s="35"/>
      <c r="L38" s="35"/>
      <c r="M38" s="35"/>
      <c r="N38" s="35"/>
      <c r="O38" s="35"/>
      <c r="P38" s="35">
        <f>SUM(P29:P37)</f>
        <v>38538.5</v>
      </c>
      <c r="Q38" s="35"/>
      <c r="R38" s="35">
        <f>SUM(R29:R37)</f>
        <v>74437.436000000002</v>
      </c>
      <c r="S38" s="36">
        <f>SUM(S29:S37)</f>
        <v>595499.48800000001</v>
      </c>
    </row>
    <row r="39" spans="1:19" ht="15.6" customHeight="1" x14ac:dyDescent="0.25">
      <c r="A39" s="18"/>
      <c r="B39" s="86" t="s">
        <v>75</v>
      </c>
      <c r="C39" s="85"/>
      <c r="D39" s="85"/>
      <c r="E39" s="85"/>
      <c r="F39" s="85"/>
      <c r="G39" s="94"/>
      <c r="H39" s="85" t="s">
        <v>76</v>
      </c>
      <c r="I39" s="95"/>
      <c r="J39" s="95"/>
      <c r="K39" s="85"/>
      <c r="L39" s="95"/>
      <c r="M39" s="95"/>
      <c r="N39" s="95"/>
      <c r="O39" s="95"/>
      <c r="P39" s="95"/>
      <c r="Q39" s="85"/>
      <c r="R39" s="85"/>
      <c r="S39" s="96"/>
    </row>
    <row r="40" spans="1:19" s="13" customFormat="1" x14ac:dyDescent="0.2">
      <c r="A40" s="28" t="s">
        <v>77</v>
      </c>
      <c r="B40" s="21" t="s">
        <v>78</v>
      </c>
      <c r="C40" s="22">
        <v>2.5</v>
      </c>
      <c r="D40" s="22">
        <v>2</v>
      </c>
      <c r="E40" s="23">
        <f>3782*C40</f>
        <v>9455</v>
      </c>
      <c r="F40" s="22"/>
      <c r="G40" s="23">
        <f t="shared" ref="G40:G41" si="8">E40+F40</f>
        <v>9455</v>
      </c>
      <c r="H40" s="23"/>
      <c r="I40" s="23"/>
      <c r="J40" s="23"/>
      <c r="K40" s="23"/>
      <c r="L40" s="23"/>
      <c r="M40" s="23"/>
      <c r="N40" s="23"/>
      <c r="O40" s="23"/>
      <c r="P40" s="23">
        <f>8647*C40-G40</f>
        <v>12162.5</v>
      </c>
      <c r="Q40" s="23"/>
      <c r="R40" s="23">
        <f t="shared" ref="R40" si="9">G40+H40+I40+ J40+K40+L40+N40+O40+P40</f>
        <v>21617.5</v>
      </c>
      <c r="S40" s="25">
        <f>R40*8</f>
        <v>172940</v>
      </c>
    </row>
    <row r="41" spans="1:19" s="37" customFormat="1" ht="16.8" customHeight="1" thickBot="1" x14ac:dyDescent="0.3">
      <c r="A41" s="33"/>
      <c r="B41" s="47" t="s">
        <v>59</v>
      </c>
      <c r="C41" s="34">
        <f>SUM(C40:C40)</f>
        <v>2.5</v>
      </c>
      <c r="D41" s="34"/>
      <c r="E41" s="35">
        <f>SUM(E40:E40)</f>
        <v>9455</v>
      </c>
      <c r="F41" s="34"/>
      <c r="G41" s="35">
        <f t="shared" si="8"/>
        <v>9455</v>
      </c>
      <c r="H41" s="35"/>
      <c r="I41" s="35"/>
      <c r="J41" s="35"/>
      <c r="K41" s="35"/>
      <c r="L41" s="35"/>
      <c r="M41" s="35"/>
      <c r="N41" s="35"/>
      <c r="O41" s="35"/>
      <c r="P41" s="35">
        <f>SUM(P40:P40)</f>
        <v>12162.5</v>
      </c>
      <c r="Q41" s="35"/>
      <c r="R41" s="35">
        <f>SUM(G41:Q41)</f>
        <v>21617.5</v>
      </c>
      <c r="S41" s="36">
        <f>SUM(S40:S40)</f>
        <v>172940</v>
      </c>
    </row>
    <row r="42" spans="1:19" s="38" customFormat="1" ht="17.399999999999999" customHeight="1" x14ac:dyDescent="0.25">
      <c r="A42" s="18"/>
      <c r="B42" s="86" t="s">
        <v>79</v>
      </c>
      <c r="C42" s="86"/>
      <c r="D42" s="86"/>
      <c r="E42" s="86"/>
      <c r="F42" s="86"/>
      <c r="G42" s="94"/>
      <c r="H42" s="86"/>
      <c r="I42" s="19"/>
      <c r="J42" s="19"/>
      <c r="K42" s="86"/>
      <c r="L42" s="19"/>
      <c r="M42" s="19"/>
      <c r="N42" s="19"/>
      <c r="O42" s="19"/>
      <c r="P42" s="19"/>
      <c r="Q42" s="86"/>
      <c r="R42" s="86"/>
      <c r="S42" s="87"/>
    </row>
    <row r="43" spans="1:19" s="38" customFormat="1" ht="16.95" customHeight="1" x14ac:dyDescent="0.25">
      <c r="A43" s="20" t="s">
        <v>80</v>
      </c>
      <c r="B43" s="21" t="s">
        <v>64</v>
      </c>
      <c r="C43" s="22">
        <v>0.5</v>
      </c>
      <c r="D43" s="22">
        <v>1</v>
      </c>
      <c r="E43" s="22">
        <f>3470*C43</f>
        <v>1735</v>
      </c>
      <c r="F43" s="22"/>
      <c r="G43" s="22">
        <f>E43+F43</f>
        <v>1735</v>
      </c>
      <c r="H43" s="22"/>
      <c r="I43" s="24"/>
      <c r="J43" s="24"/>
      <c r="K43" s="22"/>
      <c r="L43" s="24"/>
      <c r="M43" s="24"/>
      <c r="N43" s="24"/>
      <c r="O43" s="24"/>
      <c r="P43" s="23">
        <f>8647*C43-E43</f>
        <v>2588.5</v>
      </c>
      <c r="Q43" s="22"/>
      <c r="R43" s="23">
        <f t="shared" ref="R43" si="10">G43+H43+I43+ J43+K43+L43+N43+O43+P43</f>
        <v>4323.5</v>
      </c>
      <c r="S43" s="25">
        <f>R43*8</f>
        <v>34588</v>
      </c>
    </row>
    <row r="44" spans="1:19" x14ac:dyDescent="0.25">
      <c r="A44" s="20" t="s">
        <v>81</v>
      </c>
      <c r="B44" s="21" t="s">
        <v>82</v>
      </c>
      <c r="C44" s="22">
        <v>2</v>
      </c>
      <c r="D44" s="22">
        <v>4</v>
      </c>
      <c r="E44" s="23">
        <f>4407*C44</f>
        <v>8814</v>
      </c>
      <c r="F44" s="22"/>
      <c r="G44" s="23">
        <f t="shared" ref="G44:G45" si="11">E44+F44</f>
        <v>8814</v>
      </c>
      <c r="H44" s="23"/>
      <c r="I44" s="23"/>
      <c r="J44" s="23">
        <f>G44*0.04</f>
        <v>352.56</v>
      </c>
      <c r="K44" s="23"/>
      <c r="L44" s="23"/>
      <c r="M44" s="23"/>
      <c r="N44" s="23"/>
      <c r="O44" s="23"/>
      <c r="P44" s="23">
        <f>8647*C44-G44</f>
        <v>8480</v>
      </c>
      <c r="Q44" s="23"/>
      <c r="R44" s="23">
        <f>SUM(G44:P44)</f>
        <v>17646.559999999998</v>
      </c>
      <c r="S44" s="25">
        <f t="shared" ref="S44:S45" si="12">R44*8</f>
        <v>141172.47999999998</v>
      </c>
    </row>
    <row r="45" spans="1:19" x14ac:dyDescent="0.25">
      <c r="A45" s="20" t="s">
        <v>83</v>
      </c>
      <c r="B45" s="21" t="s">
        <v>84</v>
      </c>
      <c r="C45" s="22">
        <v>2</v>
      </c>
      <c r="D45" s="22">
        <v>1</v>
      </c>
      <c r="E45" s="23">
        <f>3470*C45</f>
        <v>6940</v>
      </c>
      <c r="F45" s="22"/>
      <c r="G45" s="23">
        <f t="shared" si="11"/>
        <v>6940</v>
      </c>
      <c r="H45" s="23"/>
      <c r="I45" s="23">
        <f>G45*0.1</f>
        <v>694</v>
      </c>
      <c r="J45" s="23"/>
      <c r="K45" s="23"/>
      <c r="L45" s="23"/>
      <c r="M45" s="23"/>
      <c r="N45" s="23"/>
      <c r="O45" s="23"/>
      <c r="P45" s="23">
        <f>8647*C45-G45</f>
        <v>10354</v>
      </c>
      <c r="Q45" s="23"/>
      <c r="R45" s="23">
        <f>SUM(G45:P45)</f>
        <v>17988</v>
      </c>
      <c r="S45" s="25">
        <f t="shared" si="12"/>
        <v>143904</v>
      </c>
    </row>
    <row r="46" spans="1:19" s="37" customFormat="1" ht="18" customHeight="1" thickBot="1" x14ac:dyDescent="0.3">
      <c r="A46" s="33"/>
      <c r="B46" s="47" t="s">
        <v>59</v>
      </c>
      <c r="C46" s="34">
        <f>SUM(C43:C45)</f>
        <v>4.5</v>
      </c>
      <c r="D46" s="34"/>
      <c r="E46" s="35">
        <f>SUM(E43:E45)</f>
        <v>17489</v>
      </c>
      <c r="F46" s="34"/>
      <c r="G46" s="35">
        <f>SUM(G43:G45)</f>
        <v>17489</v>
      </c>
      <c r="H46" s="35"/>
      <c r="I46" s="35">
        <f>SUM(I45:I45)</f>
        <v>694</v>
      </c>
      <c r="J46" s="35">
        <f>SUM(J44:J45)</f>
        <v>352.56</v>
      </c>
      <c r="K46" s="35"/>
      <c r="L46" s="35"/>
      <c r="M46" s="35"/>
      <c r="N46" s="35"/>
      <c r="O46" s="35"/>
      <c r="P46" s="35">
        <f>SUM(P43:P45)</f>
        <v>21422.5</v>
      </c>
      <c r="Q46" s="35"/>
      <c r="R46" s="35">
        <f>SUM(R43:R45)</f>
        <v>39958.06</v>
      </c>
      <c r="S46" s="36">
        <f>SUM(S43:S45)</f>
        <v>319664.48</v>
      </c>
    </row>
    <row r="47" spans="1:19" s="39" customFormat="1" ht="13.5" customHeight="1" x14ac:dyDescent="0.25">
      <c r="A47" s="98" t="s">
        <v>316</v>
      </c>
      <c r="B47" s="99" t="s">
        <v>85</v>
      </c>
      <c r="C47" s="100"/>
      <c r="D47" s="100"/>
      <c r="E47" s="101"/>
      <c r="F47" s="100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2"/>
    </row>
    <row r="48" spans="1:19" s="42" customFormat="1" x14ac:dyDescent="0.25">
      <c r="A48" s="43" t="s">
        <v>86</v>
      </c>
      <c r="B48" s="21" t="s">
        <v>87</v>
      </c>
      <c r="C48" s="22">
        <v>0.5</v>
      </c>
      <c r="D48" s="22">
        <v>10</v>
      </c>
      <c r="E48" s="23">
        <f>6315*C48</f>
        <v>3157.5</v>
      </c>
      <c r="F48" s="22"/>
      <c r="G48" s="23">
        <f>E48</f>
        <v>3157.5</v>
      </c>
      <c r="H48" s="23"/>
      <c r="I48" s="23"/>
      <c r="J48" s="40"/>
      <c r="K48" s="23">
        <f>G48*0.3</f>
        <v>947.25</v>
      </c>
      <c r="L48" s="41">
        <f>20000*C48-G48-K48</f>
        <v>5895.25</v>
      </c>
      <c r="M48" s="23"/>
      <c r="N48" s="23"/>
      <c r="O48" s="23"/>
      <c r="P48" s="23"/>
      <c r="Q48" s="23"/>
      <c r="R48" s="23">
        <f>G48+K48+L48</f>
        <v>10000</v>
      </c>
      <c r="S48" s="25">
        <f>R48*8</f>
        <v>80000</v>
      </c>
    </row>
    <row r="49" spans="1:20" s="42" customFormat="1" x14ac:dyDescent="0.25">
      <c r="A49" s="43" t="s">
        <v>88</v>
      </c>
      <c r="B49" s="21" t="s">
        <v>89</v>
      </c>
      <c r="C49" s="22">
        <v>3</v>
      </c>
      <c r="D49" s="22">
        <v>9</v>
      </c>
      <c r="E49" s="23">
        <f>6003*C49</f>
        <v>18009</v>
      </c>
      <c r="F49" s="22"/>
      <c r="G49" s="23">
        <f>E49</f>
        <v>18009</v>
      </c>
      <c r="H49" s="23"/>
      <c r="I49" s="23"/>
      <c r="J49" s="40"/>
      <c r="K49" s="23"/>
      <c r="L49" s="41">
        <f>15000*C49-G49-K49</f>
        <v>26991</v>
      </c>
      <c r="M49" s="23"/>
      <c r="N49" s="23"/>
      <c r="O49" s="23"/>
      <c r="P49" s="23"/>
      <c r="Q49" s="23"/>
      <c r="R49" s="23">
        <f>G49+K49+L49</f>
        <v>45000</v>
      </c>
      <c r="S49" s="25">
        <f t="shared" ref="S49:S53" si="13">R49*8</f>
        <v>360000</v>
      </c>
    </row>
    <row r="50" spans="1:20" s="42" customFormat="1" x14ac:dyDescent="0.25">
      <c r="A50" s="43" t="s">
        <v>90</v>
      </c>
      <c r="B50" s="21" t="s">
        <v>91</v>
      </c>
      <c r="C50" s="22">
        <v>1</v>
      </c>
      <c r="D50" s="22">
        <v>10</v>
      </c>
      <c r="E50" s="23">
        <f>6315*C50</f>
        <v>6315</v>
      </c>
      <c r="F50" s="22"/>
      <c r="G50" s="23">
        <f>E50</f>
        <v>6315</v>
      </c>
      <c r="H50" s="23"/>
      <c r="I50" s="23"/>
      <c r="J50" s="40"/>
      <c r="K50" s="23">
        <f>G50*0.3</f>
        <v>1894.5</v>
      </c>
      <c r="L50" s="41">
        <f>13500-G50-K50</f>
        <v>5290.5</v>
      </c>
      <c r="M50" s="23"/>
      <c r="N50" s="23"/>
      <c r="O50" s="23"/>
      <c r="P50" s="23"/>
      <c r="Q50" s="23"/>
      <c r="R50" s="23">
        <f>G50+K50+L50</f>
        <v>13500</v>
      </c>
      <c r="S50" s="25">
        <f t="shared" si="13"/>
        <v>108000</v>
      </c>
    </row>
    <row r="51" spans="1:20" s="42" customFormat="1" x14ac:dyDescent="0.25">
      <c r="A51" s="43" t="s">
        <v>92</v>
      </c>
      <c r="B51" s="21" t="s">
        <v>93</v>
      </c>
      <c r="C51" s="22">
        <v>1</v>
      </c>
      <c r="D51" s="22">
        <v>4</v>
      </c>
      <c r="E51" s="23">
        <f>4407*C51</f>
        <v>4407</v>
      </c>
      <c r="F51" s="22"/>
      <c r="G51" s="23">
        <f>E51</f>
        <v>4407</v>
      </c>
      <c r="H51" s="23"/>
      <c r="I51" s="23"/>
      <c r="J51" s="40"/>
      <c r="K51" s="23"/>
      <c r="L51" s="23"/>
      <c r="M51" s="23"/>
      <c r="N51" s="23"/>
      <c r="O51" s="23">
        <f>G51*200%</f>
        <v>8814</v>
      </c>
      <c r="P51" s="23"/>
      <c r="Q51" s="23"/>
      <c r="R51" s="23">
        <f>O51+G51</f>
        <v>13221</v>
      </c>
      <c r="S51" s="25">
        <f t="shared" si="13"/>
        <v>105768</v>
      </c>
    </row>
    <row r="52" spans="1:20" s="42" customFormat="1" x14ac:dyDescent="0.25">
      <c r="A52" s="43" t="s">
        <v>94</v>
      </c>
      <c r="B52" s="21" t="s">
        <v>95</v>
      </c>
      <c r="C52" s="22">
        <v>1</v>
      </c>
      <c r="D52" s="22">
        <v>5</v>
      </c>
      <c r="E52" s="23">
        <f>4719*C52</f>
        <v>4719</v>
      </c>
      <c r="F52" s="23"/>
      <c r="G52" s="23">
        <f>E52+F52</f>
        <v>4719</v>
      </c>
      <c r="H52" s="23"/>
      <c r="I52" s="23"/>
      <c r="J52" s="23"/>
      <c r="K52" s="23"/>
      <c r="L52" s="23"/>
      <c r="M52" s="23"/>
      <c r="N52" s="23"/>
      <c r="O52" s="23"/>
      <c r="P52" s="23">
        <f>8647-G52</f>
        <v>3928</v>
      </c>
      <c r="Q52" s="32"/>
      <c r="R52" s="23">
        <f>G52+P52</f>
        <v>8647</v>
      </c>
      <c r="S52" s="25">
        <f t="shared" si="13"/>
        <v>69176</v>
      </c>
    </row>
    <row r="53" spans="1:20" x14ac:dyDescent="0.25">
      <c r="A53" s="43" t="s">
        <v>96</v>
      </c>
      <c r="B53" s="21" t="s">
        <v>97</v>
      </c>
      <c r="C53" s="22">
        <v>0.5</v>
      </c>
      <c r="D53" s="22">
        <v>9</v>
      </c>
      <c r="E53" s="23">
        <f>6003*C53</f>
        <v>3001.5</v>
      </c>
      <c r="F53" s="22"/>
      <c r="G53" s="23">
        <f t="shared" ref="G53" si="14">E53+F53</f>
        <v>3001.5</v>
      </c>
      <c r="H53" s="23"/>
      <c r="I53" s="23"/>
      <c r="J53" s="23"/>
      <c r="K53" s="23">
        <f>G53*0.3</f>
        <v>900.44999999999993</v>
      </c>
      <c r="L53" s="23">
        <f>6750-G53-K53</f>
        <v>2848.05</v>
      </c>
      <c r="M53" s="23"/>
      <c r="N53" s="23"/>
      <c r="O53" s="23"/>
      <c r="P53" s="23"/>
      <c r="Q53" s="23"/>
      <c r="R53" s="23">
        <f>L53+K53+G53</f>
        <v>6750</v>
      </c>
      <c r="S53" s="25">
        <f t="shared" si="13"/>
        <v>54000</v>
      </c>
    </row>
    <row r="54" spans="1:20" s="45" customFormat="1" ht="13.8" customHeight="1" thickBot="1" x14ac:dyDescent="0.25">
      <c r="A54" s="103"/>
      <c r="B54" s="104" t="s">
        <v>59</v>
      </c>
      <c r="C54" s="105">
        <f>SUM(C48:C53)</f>
        <v>7</v>
      </c>
      <c r="D54" s="105"/>
      <c r="E54" s="106">
        <f>SUM(E48:E53)</f>
        <v>39609</v>
      </c>
      <c r="F54" s="105"/>
      <c r="G54" s="106">
        <f>SUM(G48:G53)</f>
        <v>39609</v>
      </c>
      <c r="H54" s="106"/>
      <c r="I54" s="106"/>
      <c r="J54" s="106"/>
      <c r="K54" s="106">
        <f>SUM(K48:K53)</f>
        <v>3742.2</v>
      </c>
      <c r="L54" s="106">
        <f>SUM(L48:L53)</f>
        <v>41024.800000000003</v>
      </c>
      <c r="M54" s="106"/>
      <c r="N54" s="106"/>
      <c r="O54" s="106">
        <f>SUM(O48:O52)</f>
        <v>8814</v>
      </c>
      <c r="P54" s="106">
        <f>SUM(P48:P53)</f>
        <v>3928</v>
      </c>
      <c r="Q54" s="106"/>
      <c r="R54" s="106">
        <f>SUM(R48:R53)</f>
        <v>97118</v>
      </c>
      <c r="S54" s="107">
        <f>SUM(S48:S53)</f>
        <v>776944</v>
      </c>
    </row>
    <row r="55" spans="1:20" s="38" customFormat="1" ht="22.8" customHeight="1" x14ac:dyDescent="0.25">
      <c r="A55" s="108"/>
      <c r="B55" s="86" t="s">
        <v>98</v>
      </c>
      <c r="C55" s="85"/>
      <c r="D55" s="85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109"/>
      <c r="R55" s="94"/>
      <c r="S55" s="110"/>
      <c r="T55" s="46"/>
    </row>
    <row r="56" spans="1:20" s="38" customFormat="1" x14ac:dyDescent="0.25">
      <c r="A56" s="43" t="s">
        <v>99</v>
      </c>
      <c r="B56" s="21" t="s">
        <v>100</v>
      </c>
      <c r="C56" s="22">
        <v>0.25</v>
      </c>
      <c r="D56" s="22">
        <v>14</v>
      </c>
      <c r="E56" s="23">
        <f>8397*C56</f>
        <v>2099.25</v>
      </c>
      <c r="F56" s="23">
        <f>E56*10%</f>
        <v>209.92500000000001</v>
      </c>
      <c r="G56" s="23">
        <f>E56+F56</f>
        <v>2309.1750000000002</v>
      </c>
      <c r="H56" s="23"/>
      <c r="I56" s="23"/>
      <c r="J56" s="23"/>
      <c r="K56" s="23">
        <f>G56*0.3</f>
        <v>692.75250000000005</v>
      </c>
      <c r="L56" s="23">
        <f>20000*C56-G56-K56</f>
        <v>1998.0724999999998</v>
      </c>
      <c r="M56" s="23"/>
      <c r="N56" s="23"/>
      <c r="O56" s="23"/>
      <c r="P56" s="23"/>
      <c r="Q56" s="32"/>
      <c r="R56" s="23">
        <f>G56+K56+L56</f>
        <v>5000</v>
      </c>
      <c r="S56" s="25">
        <f>R56*8</f>
        <v>40000</v>
      </c>
      <c r="T56" s="46"/>
    </row>
    <row r="57" spans="1:20" s="38" customFormat="1" x14ac:dyDescent="0.25">
      <c r="A57" s="43" t="s">
        <v>101</v>
      </c>
      <c r="B57" s="21" t="s">
        <v>102</v>
      </c>
      <c r="C57" s="22">
        <v>0.5</v>
      </c>
      <c r="D57" s="22">
        <v>13</v>
      </c>
      <c r="E57" s="23">
        <f>7877*C57</f>
        <v>3938.5</v>
      </c>
      <c r="F57" s="23">
        <f>E57*0.15</f>
        <v>590.77499999999998</v>
      </c>
      <c r="G57" s="23">
        <f>E57+F57</f>
        <v>4529.2749999999996</v>
      </c>
      <c r="H57" s="23"/>
      <c r="I57" s="23"/>
      <c r="J57" s="23"/>
      <c r="K57" s="23">
        <f>G57*0.3</f>
        <v>1358.7824999999998</v>
      </c>
      <c r="L57" s="23">
        <f>20000*C57-G57-K57</f>
        <v>4111.942500000001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ref="S57:S59" si="15">R57*8</f>
        <v>80000</v>
      </c>
      <c r="T57" s="46"/>
    </row>
    <row r="58" spans="1:20" s="38" customFormat="1" x14ac:dyDescent="0.25">
      <c r="A58" s="43" t="s">
        <v>103</v>
      </c>
      <c r="B58" s="21" t="s">
        <v>104</v>
      </c>
      <c r="C58" s="22">
        <v>0.5</v>
      </c>
      <c r="D58" s="22">
        <v>13</v>
      </c>
      <c r="E58" s="23">
        <f>7877*C58</f>
        <v>3938.5</v>
      </c>
      <c r="F58" s="23">
        <f>E58*0.15</f>
        <v>590.77499999999998</v>
      </c>
      <c r="G58" s="23">
        <f>E58+F58</f>
        <v>4529.2749999999996</v>
      </c>
      <c r="H58" s="23"/>
      <c r="I58" s="23"/>
      <c r="J58" s="23"/>
      <c r="K58" s="23">
        <f>G58*0.3</f>
        <v>1358.7824999999998</v>
      </c>
      <c r="L58" s="23">
        <f>10000-G58-K58</f>
        <v>4111.942500000001</v>
      </c>
      <c r="M58" s="23"/>
      <c r="N58" s="23"/>
      <c r="O58" s="23"/>
      <c r="P58" s="23"/>
      <c r="Q58" s="32"/>
      <c r="R58" s="23">
        <f>G58+K58+L58</f>
        <v>10000</v>
      </c>
      <c r="S58" s="25">
        <f t="shared" si="15"/>
        <v>80000</v>
      </c>
      <c r="T58" s="46"/>
    </row>
    <row r="59" spans="1:20" s="38" customFormat="1" x14ac:dyDescent="0.25">
      <c r="A59" s="43" t="s">
        <v>105</v>
      </c>
      <c r="B59" s="21" t="s">
        <v>106</v>
      </c>
      <c r="C59" s="22">
        <v>1</v>
      </c>
      <c r="D59" s="22">
        <v>5</v>
      </c>
      <c r="E59" s="23">
        <f>4719*C59</f>
        <v>4719</v>
      </c>
      <c r="F59" s="23"/>
      <c r="G59" s="23">
        <f>E59+F59</f>
        <v>4719</v>
      </c>
      <c r="H59" s="23"/>
      <c r="I59" s="23"/>
      <c r="J59" s="23"/>
      <c r="K59" s="23"/>
      <c r="L59" s="23"/>
      <c r="M59" s="23"/>
      <c r="N59" s="23"/>
      <c r="O59" s="23"/>
      <c r="P59" s="23">
        <f>8647-G59</f>
        <v>3928</v>
      </c>
      <c r="Q59" s="32"/>
      <c r="R59" s="23">
        <f>G59+P59</f>
        <v>8647</v>
      </c>
      <c r="S59" s="25">
        <f t="shared" si="15"/>
        <v>69176</v>
      </c>
      <c r="T59" s="46"/>
    </row>
    <row r="60" spans="1:20" s="49" customFormat="1" ht="20.399999999999999" customHeight="1" thickBot="1" x14ac:dyDescent="0.3">
      <c r="A60" s="64"/>
      <c r="B60" s="47" t="s">
        <v>59</v>
      </c>
      <c r="C60" s="34">
        <v>2.25</v>
      </c>
      <c r="D60" s="34"/>
      <c r="E60" s="35">
        <f>SUM(E56:E59)</f>
        <v>14695.25</v>
      </c>
      <c r="F60" s="35">
        <f t="shared" ref="F60" si="16">SUM(F56:F59)</f>
        <v>1391.4749999999999</v>
      </c>
      <c r="G60" s="35">
        <f>SUM(G56:G59)</f>
        <v>16086.724999999999</v>
      </c>
      <c r="H60" s="35"/>
      <c r="I60" s="35"/>
      <c r="J60" s="35"/>
      <c r="K60" s="35">
        <f t="shared" ref="K60:L60" si="17">SUM(K56:K59)</f>
        <v>3410.3174999999997</v>
      </c>
      <c r="L60" s="35">
        <f t="shared" si="17"/>
        <v>10221.957500000002</v>
      </c>
      <c r="M60" s="35"/>
      <c r="N60" s="35"/>
      <c r="O60" s="35"/>
      <c r="P60" s="35">
        <f t="shared" ref="P60:Q60" si="18">SUM(P56:P59)</f>
        <v>3928</v>
      </c>
      <c r="Q60" s="35">
        <f t="shared" si="18"/>
        <v>0</v>
      </c>
      <c r="R60" s="35">
        <f>SUM(G60:Q60)</f>
        <v>33647</v>
      </c>
      <c r="S60" s="36">
        <f>SUM(S56:S59)</f>
        <v>269176</v>
      </c>
      <c r="T60" s="48"/>
    </row>
    <row r="61" spans="1:20" ht="24" customHeight="1" x14ac:dyDescent="0.25">
      <c r="A61" s="18"/>
      <c r="B61" s="86" t="s">
        <v>107</v>
      </c>
      <c r="C61" s="86"/>
      <c r="D61" s="86"/>
      <c r="E61" s="92"/>
      <c r="F61" s="86"/>
      <c r="G61" s="94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3"/>
    </row>
    <row r="62" spans="1:20" s="13" customFormat="1" ht="38.4" customHeight="1" x14ac:dyDescent="0.2">
      <c r="A62" s="28"/>
      <c r="B62" s="29" t="s">
        <v>108</v>
      </c>
      <c r="C62" s="22"/>
      <c r="D62" s="22"/>
      <c r="E62" s="23"/>
      <c r="F62" s="22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5"/>
    </row>
    <row r="63" spans="1:20" ht="13.95" customHeight="1" x14ac:dyDescent="0.25">
      <c r="A63" s="20" t="s">
        <v>109</v>
      </c>
      <c r="B63" s="21" t="s">
        <v>110</v>
      </c>
      <c r="C63" s="22">
        <v>1</v>
      </c>
      <c r="D63" s="22">
        <v>11</v>
      </c>
      <c r="E63" s="23">
        <f>6836*C63</f>
        <v>6836</v>
      </c>
      <c r="F63" s="22">
        <f>E63*0.25</f>
        <v>1709</v>
      </c>
      <c r="G63" s="23">
        <f t="shared" ref="G63:G125" si="19">E63+F63</f>
        <v>8545</v>
      </c>
      <c r="H63" s="23"/>
      <c r="I63" s="23"/>
      <c r="J63" s="23"/>
      <c r="K63" s="23">
        <f>G63*0.3</f>
        <v>2563.5</v>
      </c>
      <c r="L63" s="41">
        <f>20000-G63-K63</f>
        <v>8891.5</v>
      </c>
      <c r="M63" s="23"/>
      <c r="N63" s="23"/>
      <c r="O63" s="23"/>
      <c r="P63" s="23"/>
      <c r="Q63" s="23"/>
      <c r="R63" s="23">
        <f t="shared" ref="R63:R75" si="20">G63+K63+L63</f>
        <v>20000</v>
      </c>
      <c r="S63" s="25">
        <f>R63*8</f>
        <v>160000</v>
      </c>
    </row>
    <row r="64" spans="1:20" x14ac:dyDescent="0.25">
      <c r="A64" s="20" t="s">
        <v>111</v>
      </c>
      <c r="B64" s="21" t="s">
        <v>112</v>
      </c>
      <c r="C64" s="22">
        <v>1.25</v>
      </c>
      <c r="D64" s="22">
        <v>12</v>
      </c>
      <c r="E64" s="23">
        <f>7356*C64</f>
        <v>9195</v>
      </c>
      <c r="F64" s="22"/>
      <c r="G64" s="23">
        <f t="shared" si="19"/>
        <v>9195</v>
      </c>
      <c r="H64" s="23"/>
      <c r="I64" s="23"/>
      <c r="J64" s="23"/>
      <c r="K64" s="23">
        <f t="shared" ref="K64:K77" si="21">G64*0.3</f>
        <v>2758.5</v>
      </c>
      <c r="L64" s="23">
        <f>20000*C64-G64-K64</f>
        <v>13046.5</v>
      </c>
      <c r="M64" s="23"/>
      <c r="N64" s="23"/>
      <c r="O64" s="23"/>
      <c r="P64" s="23"/>
      <c r="Q64" s="23"/>
      <c r="R64" s="23">
        <f t="shared" si="20"/>
        <v>25000</v>
      </c>
      <c r="S64" s="25">
        <f t="shared" ref="S64:S80" si="22">R64*8</f>
        <v>200000</v>
      </c>
    </row>
    <row r="65" spans="1:20" x14ac:dyDescent="0.25">
      <c r="A65" s="20" t="s">
        <v>113</v>
      </c>
      <c r="B65" s="21" t="s">
        <v>114</v>
      </c>
      <c r="C65" s="22">
        <v>1</v>
      </c>
      <c r="D65" s="22">
        <v>14</v>
      </c>
      <c r="E65" s="23">
        <f>8397*C65</f>
        <v>8397</v>
      </c>
      <c r="F65" s="22"/>
      <c r="G65" s="23">
        <f t="shared" si="19"/>
        <v>8397</v>
      </c>
      <c r="H65" s="23"/>
      <c r="I65" s="23"/>
      <c r="J65" s="23"/>
      <c r="K65" s="23">
        <f t="shared" si="21"/>
        <v>2519.1</v>
      </c>
      <c r="L65" s="41">
        <f>20000-G65-K65</f>
        <v>9083.9</v>
      </c>
      <c r="M65" s="23"/>
      <c r="N65" s="23"/>
      <c r="O65" s="23"/>
      <c r="P65" s="23"/>
      <c r="Q65" s="23"/>
      <c r="R65" s="23">
        <f t="shared" si="20"/>
        <v>20000</v>
      </c>
      <c r="S65" s="25">
        <f t="shared" si="22"/>
        <v>160000</v>
      </c>
    </row>
    <row r="66" spans="1:20" x14ac:dyDescent="0.25">
      <c r="A66" s="20" t="s">
        <v>115</v>
      </c>
      <c r="B66" s="21" t="s">
        <v>116</v>
      </c>
      <c r="C66" s="22">
        <v>0.5</v>
      </c>
      <c r="D66" s="22">
        <v>14</v>
      </c>
      <c r="E66" s="23">
        <f>8397*C66</f>
        <v>4198.5</v>
      </c>
      <c r="F66" s="22"/>
      <c r="G66" s="23">
        <f t="shared" si="19"/>
        <v>4198.5</v>
      </c>
      <c r="H66" s="23"/>
      <c r="I66" s="23"/>
      <c r="J66" s="23"/>
      <c r="K66" s="23">
        <f t="shared" si="21"/>
        <v>1259.55</v>
      </c>
      <c r="L66" s="41">
        <f>20000/2-G66-K66</f>
        <v>4541.95</v>
      </c>
      <c r="M66" s="23"/>
      <c r="N66" s="23"/>
      <c r="O66" s="23"/>
      <c r="P66" s="23"/>
      <c r="Q66" s="23"/>
      <c r="R66" s="23">
        <f t="shared" si="20"/>
        <v>10000</v>
      </c>
      <c r="S66" s="25">
        <f t="shared" si="22"/>
        <v>80000</v>
      </c>
    </row>
    <row r="67" spans="1:20" x14ac:dyDescent="0.25">
      <c r="A67" s="20" t="s">
        <v>117</v>
      </c>
      <c r="B67" s="21" t="s">
        <v>118</v>
      </c>
      <c r="C67" s="22">
        <v>0.25</v>
      </c>
      <c r="D67" s="22">
        <v>14</v>
      </c>
      <c r="E67" s="23">
        <f>8397*C67</f>
        <v>2099.25</v>
      </c>
      <c r="F67" s="22"/>
      <c r="G67" s="23">
        <f t="shared" si="19"/>
        <v>2099.25</v>
      </c>
      <c r="H67" s="23"/>
      <c r="I67" s="23"/>
      <c r="J67" s="23"/>
      <c r="K67" s="23">
        <f t="shared" si="21"/>
        <v>629.77499999999998</v>
      </c>
      <c r="L67" s="41">
        <f>20000*C67-G67-K67</f>
        <v>2270.9749999999999</v>
      </c>
      <c r="M67" s="23"/>
      <c r="N67" s="23"/>
      <c r="O67" s="23"/>
      <c r="P67" s="23"/>
      <c r="Q67" s="23"/>
      <c r="R67" s="23">
        <f t="shared" si="20"/>
        <v>5000</v>
      </c>
      <c r="S67" s="25">
        <f t="shared" si="22"/>
        <v>40000</v>
      </c>
    </row>
    <row r="68" spans="1:20" x14ac:dyDescent="0.25">
      <c r="A68" s="20" t="s">
        <v>119</v>
      </c>
      <c r="B68" s="21" t="s">
        <v>120</v>
      </c>
      <c r="C68" s="22">
        <v>2.25</v>
      </c>
      <c r="D68" s="22">
        <v>13</v>
      </c>
      <c r="E68" s="23">
        <f>7877*C68</f>
        <v>17723.25</v>
      </c>
      <c r="F68" s="22"/>
      <c r="G68" s="23">
        <f t="shared" si="19"/>
        <v>17723.25</v>
      </c>
      <c r="H68" s="23"/>
      <c r="I68" s="23"/>
      <c r="J68" s="23"/>
      <c r="K68" s="23">
        <f t="shared" si="21"/>
        <v>5316.9749999999995</v>
      </c>
      <c r="L68" s="41">
        <f t="shared" ref="L68:L73" si="23">20000*C68-G68-K68-N68</f>
        <v>19981.665000000001</v>
      </c>
      <c r="M68" s="23"/>
      <c r="N68" s="23">
        <f>879.16*C68</f>
        <v>1978.11</v>
      </c>
      <c r="O68" s="23"/>
      <c r="P68" s="23"/>
      <c r="Q68" s="23"/>
      <c r="R68" s="23">
        <f t="shared" ref="R68:R73" si="24">G68+K68+L68+N68</f>
        <v>45000</v>
      </c>
      <c r="S68" s="25">
        <f t="shared" si="22"/>
        <v>360000</v>
      </c>
    </row>
    <row r="69" spans="1:20" ht="11.4" customHeight="1" x14ac:dyDescent="0.25">
      <c r="A69" s="20" t="s">
        <v>119</v>
      </c>
      <c r="B69" s="21" t="s">
        <v>121</v>
      </c>
      <c r="C69" s="22">
        <v>0.5</v>
      </c>
      <c r="D69" s="22">
        <v>14</v>
      </c>
      <c r="E69" s="23">
        <f>8397*C69</f>
        <v>4198.5</v>
      </c>
      <c r="F69" s="22"/>
      <c r="G69" s="23">
        <f t="shared" si="19"/>
        <v>4198.5</v>
      </c>
      <c r="H69" s="23"/>
      <c r="I69" s="23"/>
      <c r="J69" s="23"/>
      <c r="K69" s="23">
        <f t="shared" si="21"/>
        <v>1259.55</v>
      </c>
      <c r="L69" s="41">
        <f t="shared" si="23"/>
        <v>4073.35</v>
      </c>
      <c r="M69" s="23"/>
      <c r="N69" s="23">
        <v>468.6</v>
      </c>
      <c r="O69" s="23"/>
      <c r="P69" s="23"/>
      <c r="Q69" s="23"/>
      <c r="R69" s="23">
        <f t="shared" si="24"/>
        <v>10000</v>
      </c>
      <c r="S69" s="25">
        <f t="shared" si="22"/>
        <v>80000</v>
      </c>
    </row>
    <row r="70" spans="1:20" x14ac:dyDescent="0.25">
      <c r="A70" s="20" t="s">
        <v>119</v>
      </c>
      <c r="B70" s="21" t="s">
        <v>122</v>
      </c>
      <c r="C70" s="22">
        <v>0.25</v>
      </c>
      <c r="D70" s="22">
        <v>14</v>
      </c>
      <c r="E70" s="23">
        <f>8397*C70</f>
        <v>2099.25</v>
      </c>
      <c r="F70" s="22"/>
      <c r="G70" s="23">
        <f t="shared" si="19"/>
        <v>2099.25</v>
      </c>
      <c r="H70" s="23"/>
      <c r="I70" s="23"/>
      <c r="J70" s="23"/>
      <c r="K70" s="23">
        <f t="shared" si="21"/>
        <v>629.77499999999998</v>
      </c>
      <c r="L70" s="41">
        <f t="shared" si="23"/>
        <v>2036.675</v>
      </c>
      <c r="M70" s="23"/>
      <c r="N70" s="23">
        <v>234.3</v>
      </c>
      <c r="O70" s="23"/>
      <c r="P70" s="23"/>
      <c r="Q70" s="23"/>
      <c r="R70" s="23">
        <f t="shared" si="24"/>
        <v>5000</v>
      </c>
      <c r="S70" s="25">
        <f t="shared" si="22"/>
        <v>40000</v>
      </c>
    </row>
    <row r="71" spans="1:20" x14ac:dyDescent="0.25">
      <c r="A71" s="20" t="s">
        <v>119</v>
      </c>
      <c r="B71" s="21" t="s">
        <v>123</v>
      </c>
      <c r="C71" s="22">
        <v>0.75</v>
      </c>
      <c r="D71" s="22">
        <v>14</v>
      </c>
      <c r="E71" s="23">
        <f>8397*C71</f>
        <v>6297.75</v>
      </c>
      <c r="F71" s="22"/>
      <c r="G71" s="23">
        <f t="shared" si="19"/>
        <v>6297.75</v>
      </c>
      <c r="H71" s="23"/>
      <c r="I71" s="23"/>
      <c r="J71" s="23"/>
      <c r="K71" s="23">
        <f t="shared" si="21"/>
        <v>1889.3249999999998</v>
      </c>
      <c r="L71" s="41">
        <f t="shared" si="23"/>
        <v>6578.625</v>
      </c>
      <c r="M71" s="23"/>
      <c r="N71" s="23">
        <v>234.3</v>
      </c>
      <c r="O71" s="23"/>
      <c r="P71" s="23"/>
      <c r="Q71" s="23"/>
      <c r="R71" s="23">
        <f t="shared" si="24"/>
        <v>15000</v>
      </c>
      <c r="S71" s="25">
        <f t="shared" si="22"/>
        <v>120000</v>
      </c>
    </row>
    <row r="72" spans="1:20" x14ac:dyDescent="0.25">
      <c r="A72" s="20" t="s">
        <v>119</v>
      </c>
      <c r="B72" s="21" t="s">
        <v>124</v>
      </c>
      <c r="C72" s="22">
        <v>1</v>
      </c>
      <c r="D72" s="22">
        <v>14</v>
      </c>
      <c r="E72" s="23">
        <f>8397*C72</f>
        <v>8397</v>
      </c>
      <c r="F72" s="22"/>
      <c r="G72" s="23">
        <f t="shared" si="19"/>
        <v>8397</v>
      </c>
      <c r="H72" s="23"/>
      <c r="I72" s="23"/>
      <c r="J72" s="23"/>
      <c r="K72" s="23">
        <f t="shared" si="21"/>
        <v>2519.1</v>
      </c>
      <c r="L72" s="41">
        <f t="shared" si="23"/>
        <v>8146.7</v>
      </c>
      <c r="M72" s="23"/>
      <c r="N72" s="23">
        <v>937.2</v>
      </c>
      <c r="O72" s="23"/>
      <c r="P72" s="23"/>
      <c r="Q72" s="23"/>
      <c r="R72" s="23">
        <f t="shared" si="24"/>
        <v>20000</v>
      </c>
      <c r="S72" s="25">
        <f t="shared" si="22"/>
        <v>160000</v>
      </c>
    </row>
    <row r="73" spans="1:20" x14ac:dyDescent="0.25">
      <c r="A73" s="20" t="s">
        <v>119</v>
      </c>
      <c r="B73" s="21" t="s">
        <v>125</v>
      </c>
      <c r="C73" s="22">
        <v>0.5</v>
      </c>
      <c r="D73" s="22">
        <v>13</v>
      </c>
      <c r="E73" s="23">
        <f>7877*C73</f>
        <v>3938.5</v>
      </c>
      <c r="F73" s="22"/>
      <c r="G73" s="23">
        <f t="shared" si="19"/>
        <v>3938.5</v>
      </c>
      <c r="H73" s="23"/>
      <c r="I73" s="23"/>
      <c r="J73" s="23"/>
      <c r="K73" s="23">
        <f t="shared" si="21"/>
        <v>1181.55</v>
      </c>
      <c r="L73" s="41">
        <f t="shared" si="23"/>
        <v>4440.37</v>
      </c>
      <c r="M73" s="23"/>
      <c r="N73" s="23">
        <f>879.16*C73</f>
        <v>439.58</v>
      </c>
      <c r="O73" s="23"/>
      <c r="P73" s="23"/>
      <c r="Q73" s="23"/>
      <c r="R73" s="23">
        <f t="shared" si="24"/>
        <v>10000</v>
      </c>
      <c r="S73" s="25">
        <f t="shared" si="22"/>
        <v>80000</v>
      </c>
    </row>
    <row r="74" spans="1:20" s="13" customFormat="1" x14ac:dyDescent="0.25">
      <c r="A74" s="20" t="s">
        <v>119</v>
      </c>
      <c r="B74" s="21" t="s">
        <v>126</v>
      </c>
      <c r="C74" s="22">
        <v>0.25</v>
      </c>
      <c r="D74" s="22">
        <v>14</v>
      </c>
      <c r="E74" s="23">
        <f>8397*C74</f>
        <v>2099.25</v>
      </c>
      <c r="F74" s="22"/>
      <c r="G74" s="23">
        <f>E74+F74</f>
        <v>2099.25</v>
      </c>
      <c r="H74" s="23"/>
      <c r="I74" s="23"/>
      <c r="J74" s="23"/>
      <c r="K74" s="23">
        <f t="shared" si="21"/>
        <v>629.77499999999998</v>
      </c>
      <c r="L74" s="23">
        <f>20000*C74-G74-K74</f>
        <v>2270.9749999999999</v>
      </c>
      <c r="M74" s="23"/>
      <c r="N74" s="23">
        <v>234.3</v>
      </c>
      <c r="O74" s="23"/>
      <c r="P74" s="23"/>
      <c r="Q74" s="23"/>
      <c r="R74" s="23">
        <f>G74+K74+L74</f>
        <v>5000</v>
      </c>
      <c r="S74" s="25">
        <f t="shared" si="22"/>
        <v>40000</v>
      </c>
      <c r="T74" s="52"/>
    </row>
    <row r="75" spans="1:20" x14ac:dyDescent="0.25">
      <c r="A75" s="20" t="s">
        <v>127</v>
      </c>
      <c r="B75" s="21" t="s">
        <v>128</v>
      </c>
      <c r="C75" s="22">
        <v>1</v>
      </c>
      <c r="D75" s="22">
        <v>9</v>
      </c>
      <c r="E75" s="23">
        <f>6003*C75</f>
        <v>6003</v>
      </c>
      <c r="F75" s="22">
        <f>E75*0.1</f>
        <v>600.30000000000007</v>
      </c>
      <c r="G75" s="23">
        <f t="shared" si="19"/>
        <v>6603.3</v>
      </c>
      <c r="H75" s="23"/>
      <c r="I75" s="23"/>
      <c r="J75" s="23"/>
      <c r="K75" s="23">
        <f t="shared" si="21"/>
        <v>1980.99</v>
      </c>
      <c r="L75" s="41">
        <v>5596.39</v>
      </c>
      <c r="M75" s="23"/>
      <c r="N75" s="23"/>
      <c r="O75" s="23"/>
      <c r="P75" s="23"/>
      <c r="Q75" s="23"/>
      <c r="R75" s="23">
        <f t="shared" si="20"/>
        <v>14180.68</v>
      </c>
      <c r="S75" s="25">
        <f t="shared" si="22"/>
        <v>113445.44</v>
      </c>
    </row>
    <row r="76" spans="1:20" x14ac:dyDescent="0.25">
      <c r="A76" s="20" t="s">
        <v>129</v>
      </c>
      <c r="B76" s="21" t="s">
        <v>130</v>
      </c>
      <c r="C76" s="22">
        <v>10</v>
      </c>
      <c r="D76" s="22">
        <v>9</v>
      </c>
      <c r="E76" s="23">
        <f>6003*C76</f>
        <v>60030</v>
      </c>
      <c r="F76" s="22"/>
      <c r="G76" s="23">
        <f t="shared" si="19"/>
        <v>60030</v>
      </c>
      <c r="H76" s="23"/>
      <c r="I76" s="23">
        <f t="shared" ref="I76:I78" si="25">G76*0.1</f>
        <v>6003</v>
      </c>
      <c r="J76" s="23"/>
      <c r="K76" s="23">
        <f t="shared" si="21"/>
        <v>18009</v>
      </c>
      <c r="L76" s="41">
        <f>13500*C76-G76-I76-K76-N76</f>
        <v>44258.6</v>
      </c>
      <c r="M76" s="23"/>
      <c r="N76" s="23">
        <f>669.94*C76</f>
        <v>6699.4000000000005</v>
      </c>
      <c r="O76" s="23"/>
      <c r="P76" s="23"/>
      <c r="Q76" s="23"/>
      <c r="R76" s="23">
        <f>G76+I76+K76+L76+N76</f>
        <v>135000</v>
      </c>
      <c r="S76" s="25">
        <f t="shared" si="22"/>
        <v>1080000</v>
      </c>
    </row>
    <row r="77" spans="1:20" x14ac:dyDescent="0.25">
      <c r="A77" s="20" t="s">
        <v>131</v>
      </c>
      <c r="B77" s="21" t="s">
        <v>132</v>
      </c>
      <c r="C77" s="22">
        <v>1</v>
      </c>
      <c r="D77" s="22">
        <v>6</v>
      </c>
      <c r="E77" s="23">
        <f>5032*C77</f>
        <v>5032</v>
      </c>
      <c r="F77" s="22"/>
      <c r="G77" s="23">
        <f t="shared" si="19"/>
        <v>5032</v>
      </c>
      <c r="H77" s="23"/>
      <c r="I77" s="23">
        <f t="shared" si="25"/>
        <v>503.20000000000005</v>
      </c>
      <c r="J77" s="23"/>
      <c r="K77" s="23">
        <f t="shared" si="21"/>
        <v>1509.6</v>
      </c>
      <c r="L77" s="41">
        <f t="shared" ref="L77" si="26">13500-G77-I77-K77</f>
        <v>6455.2000000000007</v>
      </c>
      <c r="M77" s="23"/>
      <c r="N77" s="23"/>
      <c r="O77" s="23"/>
      <c r="P77" s="23"/>
      <c r="Q77" s="23"/>
      <c r="R77" s="23">
        <f t="shared" ref="R77" si="27">G77+I77+K77+L77</f>
        <v>13500</v>
      </c>
      <c r="S77" s="25">
        <f t="shared" si="22"/>
        <v>108000</v>
      </c>
    </row>
    <row r="78" spans="1:20" x14ac:dyDescent="0.25">
      <c r="A78" s="20" t="s">
        <v>133</v>
      </c>
      <c r="B78" s="21" t="s">
        <v>134</v>
      </c>
      <c r="C78" s="22">
        <v>6</v>
      </c>
      <c r="D78" s="22">
        <v>4</v>
      </c>
      <c r="E78" s="23">
        <f>4407*C78</f>
        <v>26442</v>
      </c>
      <c r="F78" s="22"/>
      <c r="G78" s="23">
        <f t="shared" si="19"/>
        <v>26442</v>
      </c>
      <c r="H78" s="23"/>
      <c r="I78" s="23">
        <f t="shared" si="25"/>
        <v>2644.2000000000003</v>
      </c>
      <c r="J78" s="23"/>
      <c r="K78" s="23"/>
      <c r="L78" s="23"/>
      <c r="M78" s="23"/>
      <c r="N78" s="23">
        <f>475.33*C78</f>
        <v>2851.98</v>
      </c>
      <c r="O78" s="23"/>
      <c r="P78" s="23">
        <f>8647*C78-G78</f>
        <v>25440</v>
      </c>
      <c r="Q78" s="23"/>
      <c r="R78" s="23">
        <f>E78+I78+P78+N78</f>
        <v>57378.18</v>
      </c>
      <c r="S78" s="25">
        <f t="shared" si="22"/>
        <v>459025.44</v>
      </c>
    </row>
    <row r="79" spans="1:20" x14ac:dyDescent="0.25">
      <c r="A79" s="20" t="s">
        <v>135</v>
      </c>
      <c r="B79" s="21" t="s">
        <v>136</v>
      </c>
      <c r="C79" s="22">
        <v>1</v>
      </c>
      <c r="D79" s="22">
        <v>3</v>
      </c>
      <c r="E79" s="23">
        <f>4095*C79</f>
        <v>4095</v>
      </c>
      <c r="F79" s="22"/>
      <c r="G79" s="23">
        <f t="shared" si="19"/>
        <v>4095</v>
      </c>
      <c r="H79" s="23"/>
      <c r="I79" s="23"/>
      <c r="J79" s="23"/>
      <c r="K79" s="23"/>
      <c r="L79" s="23"/>
      <c r="M79" s="23"/>
      <c r="N79" s="23"/>
      <c r="O79" s="23"/>
      <c r="P79" s="23">
        <f>8647-G79</f>
        <v>4552</v>
      </c>
      <c r="Q79" s="23"/>
      <c r="R79" s="23">
        <f>G79+P79</f>
        <v>8647</v>
      </c>
      <c r="S79" s="25">
        <f t="shared" si="22"/>
        <v>69176</v>
      </c>
      <c r="T79" s="53"/>
    </row>
    <row r="80" spans="1:20" x14ac:dyDescent="0.25">
      <c r="A80" s="20" t="s">
        <v>137</v>
      </c>
      <c r="B80" s="21" t="s">
        <v>138</v>
      </c>
      <c r="C80" s="22">
        <v>1</v>
      </c>
      <c r="D80" s="22">
        <v>4</v>
      </c>
      <c r="E80" s="23">
        <f>4407*C80</f>
        <v>4407</v>
      </c>
      <c r="F80" s="22"/>
      <c r="G80" s="23">
        <f t="shared" si="19"/>
        <v>4407</v>
      </c>
      <c r="H80" s="23"/>
      <c r="I80" s="23"/>
      <c r="J80" s="23"/>
      <c r="K80" s="23"/>
      <c r="L80" s="23"/>
      <c r="M80" s="23"/>
      <c r="N80" s="23"/>
      <c r="O80" s="23"/>
      <c r="P80" s="23">
        <f>8647-G80</f>
        <v>4240</v>
      </c>
      <c r="Q80" s="23"/>
      <c r="R80" s="23">
        <f>G80+P80</f>
        <v>8647</v>
      </c>
      <c r="S80" s="25">
        <f t="shared" si="22"/>
        <v>69176</v>
      </c>
      <c r="T80" s="53"/>
    </row>
    <row r="81" spans="1:20" s="27" customFormat="1" ht="24.6" customHeight="1" thickBot="1" x14ac:dyDescent="0.3">
      <c r="A81" s="64"/>
      <c r="B81" s="47" t="s">
        <v>59</v>
      </c>
      <c r="C81" s="34">
        <f>SUM(C63:C80)</f>
        <v>29.5</v>
      </c>
      <c r="D81" s="34"/>
      <c r="E81" s="35">
        <f>SUM(E63:E80)</f>
        <v>181488.25</v>
      </c>
      <c r="F81" s="34">
        <f>SUM(F63:F80)</f>
        <v>2309.3000000000002</v>
      </c>
      <c r="G81" s="35">
        <f>SUM(G63:G80)</f>
        <v>183797.55</v>
      </c>
      <c r="H81" s="35"/>
      <c r="I81" s="35">
        <f>SUM(I63:I80)</f>
        <v>9150.4</v>
      </c>
      <c r="J81" s="35"/>
      <c r="K81" s="35">
        <f>SUM(K63:K80)</f>
        <v>44656.064999999995</v>
      </c>
      <c r="L81" s="35">
        <f>SUM(L63:L80)</f>
        <v>141673.375</v>
      </c>
      <c r="M81" s="35"/>
      <c r="N81" s="35">
        <f>SUM(N68:N80)</f>
        <v>14077.77</v>
      </c>
      <c r="O81" s="35"/>
      <c r="P81" s="35">
        <f>SUM(P63:P80)</f>
        <v>34232</v>
      </c>
      <c r="Q81" s="35"/>
      <c r="R81" s="35">
        <f>SUM(R63:R80)</f>
        <v>427352.86</v>
      </c>
      <c r="S81" s="36">
        <f>SUM(S63:S80)</f>
        <v>3418822.88</v>
      </c>
      <c r="T81" s="54"/>
    </row>
    <row r="82" spans="1:20" s="13" customFormat="1" ht="20.399999999999999" customHeight="1" x14ac:dyDescent="0.2">
      <c r="A82" s="18"/>
      <c r="B82" s="55" t="s">
        <v>139</v>
      </c>
      <c r="C82" s="85"/>
      <c r="D82" s="85"/>
      <c r="E82" s="94"/>
      <c r="F82" s="85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110"/>
      <c r="T82" s="52"/>
    </row>
    <row r="83" spans="1:20" s="13" customFormat="1" x14ac:dyDescent="0.25">
      <c r="A83" s="20" t="s">
        <v>140</v>
      </c>
      <c r="B83" s="21" t="s">
        <v>100</v>
      </c>
      <c r="C83" s="22">
        <v>1</v>
      </c>
      <c r="D83" s="22">
        <v>12</v>
      </c>
      <c r="E83" s="23">
        <f>7356*C83</f>
        <v>7356</v>
      </c>
      <c r="F83" s="22">
        <f>E83*0.25</f>
        <v>1839</v>
      </c>
      <c r="G83" s="23">
        <f t="shared" ref="G83:G109" si="28">E83+F83</f>
        <v>9195</v>
      </c>
      <c r="H83" s="23"/>
      <c r="I83" s="23"/>
      <c r="J83" s="23"/>
      <c r="K83" s="23">
        <f>G83*0.3</f>
        <v>2758.5</v>
      </c>
      <c r="L83" s="23">
        <f t="shared" ref="L83" si="29">20000-G83-K83</f>
        <v>8046.5</v>
      </c>
      <c r="M83" s="23"/>
      <c r="N83" s="23"/>
      <c r="O83" s="23"/>
      <c r="P83" s="23"/>
      <c r="Q83" s="23"/>
      <c r="R83" s="23">
        <f t="shared" ref="R83:R85" si="30">G83+K83+L83</f>
        <v>20000</v>
      </c>
      <c r="S83" s="25">
        <f>R83*8</f>
        <v>160000</v>
      </c>
      <c r="T83" s="52"/>
    </row>
    <row r="84" spans="1:20" s="13" customFormat="1" x14ac:dyDescent="0.25">
      <c r="A84" s="20" t="s">
        <v>141</v>
      </c>
      <c r="B84" s="21" t="s">
        <v>142</v>
      </c>
      <c r="C84" s="22">
        <v>1.5</v>
      </c>
      <c r="D84" s="22">
        <v>14</v>
      </c>
      <c r="E84" s="23">
        <f>8397*C84</f>
        <v>12595.5</v>
      </c>
      <c r="F84" s="22"/>
      <c r="G84" s="23">
        <f t="shared" si="28"/>
        <v>12595.5</v>
      </c>
      <c r="H84" s="23"/>
      <c r="I84" s="23"/>
      <c r="J84" s="23"/>
      <c r="K84" s="23">
        <f t="shared" ref="K84:K107" si="31">G84*0.3</f>
        <v>3778.6499999999996</v>
      </c>
      <c r="L84" s="23">
        <f>30000-G84-K84</f>
        <v>13625.85</v>
      </c>
      <c r="M84" s="23"/>
      <c r="N84" s="23"/>
      <c r="O84" s="23"/>
      <c r="P84" s="23"/>
      <c r="Q84" s="23"/>
      <c r="R84" s="23">
        <f t="shared" si="30"/>
        <v>30000</v>
      </c>
      <c r="S84" s="25">
        <f t="shared" ref="S84:S109" si="32">R84*8</f>
        <v>240000</v>
      </c>
      <c r="T84" s="52"/>
    </row>
    <row r="85" spans="1:20" s="13" customFormat="1" x14ac:dyDescent="0.25">
      <c r="A85" s="20" t="s">
        <v>143</v>
      </c>
      <c r="B85" s="21" t="s">
        <v>144</v>
      </c>
      <c r="C85" s="22">
        <v>1</v>
      </c>
      <c r="D85" s="22">
        <v>12</v>
      </c>
      <c r="E85" s="23">
        <f>7356*C85</f>
        <v>7356</v>
      </c>
      <c r="F85" s="23">
        <f>E85*0.15</f>
        <v>1103.3999999999999</v>
      </c>
      <c r="G85" s="23">
        <f t="shared" si="28"/>
        <v>8459.4</v>
      </c>
      <c r="H85" s="23"/>
      <c r="I85" s="23"/>
      <c r="J85" s="23"/>
      <c r="K85" s="23">
        <f t="shared" si="31"/>
        <v>2537.8199999999997</v>
      </c>
      <c r="L85" s="23">
        <f t="shared" ref="L85" si="33">20000-G85-K85</f>
        <v>9002.7800000000007</v>
      </c>
      <c r="M85" s="23"/>
      <c r="N85" s="23"/>
      <c r="O85" s="23"/>
      <c r="P85" s="23"/>
      <c r="Q85" s="23"/>
      <c r="R85" s="23">
        <f t="shared" si="30"/>
        <v>20000</v>
      </c>
      <c r="S85" s="25">
        <f t="shared" si="32"/>
        <v>160000</v>
      </c>
      <c r="T85" s="52"/>
    </row>
    <row r="86" spans="1:20" s="13" customFormat="1" x14ac:dyDescent="0.25">
      <c r="A86" s="20" t="s">
        <v>145</v>
      </c>
      <c r="B86" s="21" t="s">
        <v>146</v>
      </c>
      <c r="C86" s="22">
        <v>1</v>
      </c>
      <c r="D86" s="22">
        <v>11</v>
      </c>
      <c r="E86" s="23">
        <f>6836*C86</f>
        <v>6836</v>
      </c>
      <c r="F86" s="22"/>
      <c r="G86" s="23">
        <f t="shared" si="28"/>
        <v>6836</v>
      </c>
      <c r="H86" s="23"/>
      <c r="I86" s="23"/>
      <c r="J86" s="23"/>
      <c r="K86" s="23">
        <f t="shared" si="31"/>
        <v>2050.7999999999997</v>
      </c>
      <c r="L86" s="23">
        <f>20000-G86-K86</f>
        <v>11113.2</v>
      </c>
      <c r="M86" s="23"/>
      <c r="N86" s="23"/>
      <c r="O86" s="23"/>
      <c r="P86" s="23"/>
      <c r="Q86" s="23"/>
      <c r="R86" s="23">
        <f>G86+K86+L86</f>
        <v>20000</v>
      </c>
      <c r="S86" s="25">
        <f t="shared" si="32"/>
        <v>160000</v>
      </c>
      <c r="T86" s="52"/>
    </row>
    <row r="87" spans="1:20" s="13" customFormat="1" x14ac:dyDescent="0.25">
      <c r="A87" s="20" t="s">
        <v>147</v>
      </c>
      <c r="B87" s="21" t="s">
        <v>148</v>
      </c>
      <c r="C87" s="22">
        <v>1.5</v>
      </c>
      <c r="D87" s="22">
        <v>11</v>
      </c>
      <c r="E87" s="23">
        <f>6836*C87</f>
        <v>10254</v>
      </c>
      <c r="F87" s="22"/>
      <c r="G87" s="23">
        <f t="shared" si="28"/>
        <v>10254</v>
      </c>
      <c r="H87" s="23"/>
      <c r="I87" s="23"/>
      <c r="J87" s="23"/>
      <c r="K87" s="23">
        <f t="shared" si="31"/>
        <v>3076.2</v>
      </c>
      <c r="L87" s="23">
        <f>20000*C87-G87-K87</f>
        <v>16669.8</v>
      </c>
      <c r="M87" s="23"/>
      <c r="N87" s="23"/>
      <c r="O87" s="23"/>
      <c r="P87" s="23"/>
      <c r="Q87" s="23"/>
      <c r="R87" s="23">
        <f t="shared" ref="R87:R101" si="34">G87+K87+L87</f>
        <v>30000</v>
      </c>
      <c r="S87" s="25">
        <f t="shared" si="32"/>
        <v>240000</v>
      </c>
      <c r="T87" s="52"/>
    </row>
    <row r="88" spans="1:20" s="13" customFormat="1" x14ac:dyDescent="0.25">
      <c r="A88" s="20" t="s">
        <v>149</v>
      </c>
      <c r="B88" s="21" t="s">
        <v>150</v>
      </c>
      <c r="C88" s="22">
        <v>0.5</v>
      </c>
      <c r="D88" s="22">
        <v>14</v>
      </c>
      <c r="E88" s="23">
        <f>8397*C88</f>
        <v>4198.5</v>
      </c>
      <c r="F88" s="22"/>
      <c r="G88" s="23">
        <f t="shared" si="28"/>
        <v>4198.5</v>
      </c>
      <c r="H88" s="23"/>
      <c r="I88" s="23"/>
      <c r="J88" s="23"/>
      <c r="K88" s="23">
        <f t="shared" si="31"/>
        <v>1259.55</v>
      </c>
      <c r="L88" s="23">
        <f>20000*C88-G88-K88</f>
        <v>4541.95</v>
      </c>
      <c r="M88" s="23"/>
      <c r="N88" s="23"/>
      <c r="O88" s="23"/>
      <c r="P88" s="23"/>
      <c r="Q88" s="23"/>
      <c r="R88" s="23">
        <f t="shared" si="34"/>
        <v>10000</v>
      </c>
      <c r="S88" s="25">
        <f t="shared" si="32"/>
        <v>80000</v>
      </c>
      <c r="T88" s="52"/>
    </row>
    <row r="89" spans="1:20" s="13" customFormat="1" x14ac:dyDescent="0.25">
      <c r="A89" s="20" t="s">
        <v>151</v>
      </c>
      <c r="B89" s="21" t="s">
        <v>104</v>
      </c>
      <c r="C89" s="22">
        <v>0.5</v>
      </c>
      <c r="D89" s="22">
        <v>11</v>
      </c>
      <c r="E89" s="23">
        <f>6836*C89</f>
        <v>3418</v>
      </c>
      <c r="F89" s="23">
        <f>E89*0.15</f>
        <v>512.69999999999993</v>
      </c>
      <c r="G89" s="23">
        <f t="shared" si="28"/>
        <v>3930.7</v>
      </c>
      <c r="H89" s="23"/>
      <c r="I89" s="23"/>
      <c r="J89" s="23"/>
      <c r="K89" s="23">
        <f t="shared" si="31"/>
        <v>1179.2099999999998</v>
      </c>
      <c r="L89" s="23">
        <f>20000/2-G89-K89</f>
        <v>4890.09</v>
      </c>
      <c r="M89" s="23"/>
      <c r="N89" s="23"/>
      <c r="O89" s="23"/>
      <c r="P89" s="23"/>
      <c r="Q89" s="23"/>
      <c r="R89" s="23">
        <f t="shared" si="34"/>
        <v>10000</v>
      </c>
      <c r="S89" s="25">
        <f t="shared" si="32"/>
        <v>80000</v>
      </c>
      <c r="T89" s="52"/>
    </row>
    <row r="90" spans="1:20" s="13" customFormat="1" x14ac:dyDescent="0.25">
      <c r="A90" s="20" t="s">
        <v>152</v>
      </c>
      <c r="B90" s="21" t="s">
        <v>153</v>
      </c>
      <c r="C90" s="22">
        <v>2</v>
      </c>
      <c r="D90" s="22">
        <v>14</v>
      </c>
      <c r="E90" s="23">
        <f>8397*C90</f>
        <v>16794</v>
      </c>
      <c r="F90" s="23">
        <f>E90*0.15</f>
        <v>2519.1</v>
      </c>
      <c r="G90" s="23">
        <f t="shared" si="28"/>
        <v>19313.099999999999</v>
      </c>
      <c r="H90" s="23"/>
      <c r="I90" s="23"/>
      <c r="J90" s="23"/>
      <c r="K90" s="23">
        <f t="shared" si="31"/>
        <v>5793.9299999999994</v>
      </c>
      <c r="L90" s="23">
        <f>20000*C90-G90-K90</f>
        <v>14892.970000000001</v>
      </c>
      <c r="M90" s="23"/>
      <c r="N90" s="23"/>
      <c r="O90" s="23"/>
      <c r="P90" s="23"/>
      <c r="Q90" s="23"/>
      <c r="R90" s="23">
        <f t="shared" si="34"/>
        <v>40000</v>
      </c>
      <c r="S90" s="25">
        <f t="shared" si="32"/>
        <v>320000</v>
      </c>
      <c r="T90" s="52"/>
    </row>
    <row r="91" spans="1:20" s="13" customFormat="1" x14ac:dyDescent="0.25">
      <c r="A91" s="20" t="s">
        <v>154</v>
      </c>
      <c r="B91" s="21" t="s">
        <v>155</v>
      </c>
      <c r="C91" s="22">
        <v>0.75</v>
      </c>
      <c r="D91" s="22">
        <v>13</v>
      </c>
      <c r="E91" s="23">
        <f>7877*C91</f>
        <v>5907.75</v>
      </c>
      <c r="F91" s="22"/>
      <c r="G91" s="23">
        <f t="shared" si="28"/>
        <v>5907.75</v>
      </c>
      <c r="H91" s="23"/>
      <c r="I91" s="23"/>
      <c r="J91" s="23"/>
      <c r="K91" s="23">
        <f t="shared" si="31"/>
        <v>1772.325</v>
      </c>
      <c r="L91" s="23">
        <f>20000*C91-G91-K91</f>
        <v>7319.9250000000002</v>
      </c>
      <c r="M91" s="23"/>
      <c r="N91" s="23"/>
      <c r="O91" s="23"/>
      <c r="P91" s="23"/>
      <c r="Q91" s="23"/>
      <c r="R91" s="23">
        <f t="shared" si="34"/>
        <v>15000</v>
      </c>
      <c r="S91" s="25">
        <f t="shared" si="32"/>
        <v>120000</v>
      </c>
      <c r="T91" s="52"/>
    </row>
    <row r="92" spans="1:20" s="14" customFormat="1" x14ac:dyDescent="0.25">
      <c r="A92" s="137" t="s">
        <v>156</v>
      </c>
      <c r="B92" s="21" t="s">
        <v>339</v>
      </c>
      <c r="C92" s="22">
        <v>0.5</v>
      </c>
      <c r="D92" s="22">
        <v>11</v>
      </c>
      <c r="E92" s="23">
        <f>6836*C92</f>
        <v>3418</v>
      </c>
      <c r="F92" s="23"/>
      <c r="G92" s="23">
        <f t="shared" si="28"/>
        <v>3418</v>
      </c>
      <c r="H92" s="23"/>
      <c r="I92" s="23"/>
      <c r="J92" s="23"/>
      <c r="K92" s="23">
        <f t="shared" si="31"/>
        <v>1025.3999999999999</v>
      </c>
      <c r="L92" s="23">
        <f>20000*C92-G92-K92</f>
        <v>5556.6</v>
      </c>
      <c r="M92" s="23"/>
      <c r="N92" s="23"/>
      <c r="O92" s="23"/>
      <c r="P92" s="23"/>
      <c r="Q92" s="23"/>
      <c r="R92" s="23">
        <f>G92+K92+L92</f>
        <v>10000</v>
      </c>
      <c r="S92" s="25">
        <f t="shared" si="32"/>
        <v>80000</v>
      </c>
      <c r="T92" s="138"/>
    </row>
    <row r="93" spans="1:20" s="13" customFormat="1" x14ac:dyDescent="0.25">
      <c r="A93" s="20" t="s">
        <v>119</v>
      </c>
      <c r="B93" s="21" t="s">
        <v>158</v>
      </c>
      <c r="C93" s="22">
        <v>0.25</v>
      </c>
      <c r="D93" s="22">
        <v>14</v>
      </c>
      <c r="E93" s="23">
        <f>8397*C93</f>
        <v>2099.25</v>
      </c>
      <c r="F93" s="22"/>
      <c r="G93" s="23">
        <f>E93+F93</f>
        <v>2099.25</v>
      </c>
      <c r="H93" s="23"/>
      <c r="I93" s="23"/>
      <c r="J93" s="23"/>
      <c r="K93" s="23">
        <f t="shared" si="31"/>
        <v>629.77499999999998</v>
      </c>
      <c r="L93" s="23">
        <f>20000*C93-G93-K93</f>
        <v>2270.9749999999999</v>
      </c>
      <c r="M93" s="23"/>
      <c r="N93" s="23"/>
      <c r="O93" s="23"/>
      <c r="P93" s="23"/>
      <c r="Q93" s="23"/>
      <c r="R93" s="23">
        <f>G93+K93+L93</f>
        <v>5000</v>
      </c>
      <c r="S93" s="25">
        <f t="shared" si="32"/>
        <v>40000</v>
      </c>
      <c r="T93" s="52"/>
    </row>
    <row r="94" spans="1:20" s="13" customFormat="1" x14ac:dyDescent="0.25">
      <c r="A94" s="20" t="s">
        <v>159</v>
      </c>
      <c r="B94" s="21" t="s">
        <v>160</v>
      </c>
      <c r="C94" s="22">
        <v>0.5</v>
      </c>
      <c r="D94" s="22">
        <v>14</v>
      </c>
      <c r="E94" s="23">
        <f>8397*C94</f>
        <v>4198.5</v>
      </c>
      <c r="F94" s="22"/>
      <c r="G94" s="23">
        <f t="shared" si="28"/>
        <v>4198.5</v>
      </c>
      <c r="H94" s="23"/>
      <c r="I94" s="23"/>
      <c r="J94" s="23"/>
      <c r="K94" s="23">
        <f t="shared" si="31"/>
        <v>1259.55</v>
      </c>
      <c r="L94" s="23">
        <f>20000/2-G94-K94</f>
        <v>4541.95</v>
      </c>
      <c r="M94" s="23"/>
      <c r="N94" s="23"/>
      <c r="O94" s="23"/>
      <c r="P94" s="23"/>
      <c r="Q94" s="23"/>
      <c r="R94" s="23">
        <f t="shared" si="34"/>
        <v>10000</v>
      </c>
      <c r="S94" s="25">
        <f t="shared" si="32"/>
        <v>80000</v>
      </c>
      <c r="T94" s="52"/>
    </row>
    <row r="95" spans="1:20" s="56" customFormat="1" x14ac:dyDescent="0.25">
      <c r="A95" s="20" t="s">
        <v>163</v>
      </c>
      <c r="B95" s="21" t="s">
        <v>164</v>
      </c>
      <c r="C95" s="22">
        <v>0.25</v>
      </c>
      <c r="D95" s="22">
        <v>14</v>
      </c>
      <c r="E95" s="23">
        <f>8397*C95</f>
        <v>2099.25</v>
      </c>
      <c r="F95" s="22"/>
      <c r="G95" s="23">
        <f t="shared" si="28"/>
        <v>2099.25</v>
      </c>
      <c r="H95" s="23"/>
      <c r="I95" s="23"/>
      <c r="J95" s="23"/>
      <c r="K95" s="23">
        <f t="shared" si="31"/>
        <v>629.77499999999998</v>
      </c>
      <c r="L95" s="23">
        <f>20000*C95-G95-K95</f>
        <v>2270.9749999999999</v>
      </c>
      <c r="M95" s="23"/>
      <c r="N95" s="23"/>
      <c r="O95" s="23"/>
      <c r="P95" s="23"/>
      <c r="Q95" s="23"/>
      <c r="R95" s="23">
        <f t="shared" si="34"/>
        <v>5000</v>
      </c>
      <c r="S95" s="25">
        <f t="shared" si="32"/>
        <v>40000</v>
      </c>
    </row>
    <row r="96" spans="1:20" s="56" customFormat="1" x14ac:dyDescent="0.25">
      <c r="A96" s="20" t="s">
        <v>163</v>
      </c>
      <c r="B96" s="21" t="s">
        <v>332</v>
      </c>
      <c r="C96" s="22">
        <v>0.5</v>
      </c>
      <c r="D96" s="22">
        <v>14</v>
      </c>
      <c r="E96" s="23">
        <f>8397*C96</f>
        <v>4198.5</v>
      </c>
      <c r="F96" s="22"/>
      <c r="G96" s="23">
        <f t="shared" si="28"/>
        <v>4198.5</v>
      </c>
      <c r="H96" s="23"/>
      <c r="I96" s="23"/>
      <c r="J96" s="23"/>
      <c r="K96" s="23">
        <f t="shared" si="31"/>
        <v>1259.55</v>
      </c>
      <c r="L96" s="23">
        <f>20000/2-G96-K96</f>
        <v>4541.95</v>
      </c>
      <c r="M96" s="23"/>
      <c r="N96" s="23"/>
      <c r="O96" s="23"/>
      <c r="P96" s="23"/>
      <c r="Q96" s="23"/>
      <c r="R96" s="23">
        <f t="shared" si="34"/>
        <v>10000</v>
      </c>
      <c r="S96" s="25">
        <f t="shared" si="32"/>
        <v>80000</v>
      </c>
    </row>
    <row r="97" spans="1:20" s="13" customFormat="1" x14ac:dyDescent="0.25">
      <c r="A97" s="20" t="s">
        <v>165</v>
      </c>
      <c r="B97" s="21" t="s">
        <v>166</v>
      </c>
      <c r="C97" s="22">
        <v>1.5</v>
      </c>
      <c r="D97" s="22">
        <v>14</v>
      </c>
      <c r="E97" s="23">
        <f>8397*C97</f>
        <v>12595.5</v>
      </c>
      <c r="F97" s="22"/>
      <c r="G97" s="23">
        <f t="shared" si="28"/>
        <v>12595.5</v>
      </c>
      <c r="H97" s="23"/>
      <c r="I97" s="23"/>
      <c r="J97" s="23"/>
      <c r="K97" s="23">
        <f t="shared" si="31"/>
        <v>3778.6499999999996</v>
      </c>
      <c r="L97" s="23">
        <f>20000*1.5-G97-K97</f>
        <v>13625.85</v>
      </c>
      <c r="M97" s="23"/>
      <c r="N97" s="23"/>
      <c r="O97" s="23"/>
      <c r="P97" s="23"/>
      <c r="Q97" s="23"/>
      <c r="R97" s="23">
        <f t="shared" si="34"/>
        <v>30000</v>
      </c>
      <c r="S97" s="25">
        <f t="shared" si="32"/>
        <v>240000</v>
      </c>
      <c r="T97" s="52"/>
    </row>
    <row r="98" spans="1:20" x14ac:dyDescent="0.25">
      <c r="A98" s="20" t="s">
        <v>167</v>
      </c>
      <c r="B98" s="21" t="s">
        <v>112</v>
      </c>
      <c r="C98" s="22">
        <v>0.75</v>
      </c>
      <c r="D98" s="22">
        <v>10</v>
      </c>
      <c r="E98" s="23">
        <f>6315*C98</f>
        <v>4736.25</v>
      </c>
      <c r="F98" s="22"/>
      <c r="G98" s="23">
        <f t="shared" si="28"/>
        <v>4736.25</v>
      </c>
      <c r="H98" s="23"/>
      <c r="I98" s="23"/>
      <c r="J98" s="23"/>
      <c r="K98" s="23">
        <f t="shared" si="31"/>
        <v>1420.875</v>
      </c>
      <c r="L98" s="23">
        <f>20000*C98-G98-K98</f>
        <v>8842.875</v>
      </c>
      <c r="M98" s="23"/>
      <c r="N98" s="23"/>
      <c r="O98" s="23"/>
      <c r="P98" s="23"/>
      <c r="Q98" s="23"/>
      <c r="R98" s="23">
        <f t="shared" si="34"/>
        <v>15000</v>
      </c>
      <c r="S98" s="25">
        <f t="shared" si="32"/>
        <v>120000</v>
      </c>
      <c r="T98" s="53"/>
    </row>
    <row r="99" spans="1:20" s="13" customFormat="1" x14ac:dyDescent="0.25">
      <c r="A99" s="20" t="s">
        <v>168</v>
      </c>
      <c r="B99" s="21" t="s">
        <v>169</v>
      </c>
      <c r="C99" s="22">
        <v>1.5</v>
      </c>
      <c r="D99" s="22">
        <v>14</v>
      </c>
      <c r="E99" s="23">
        <f>8397*C99</f>
        <v>12595.5</v>
      </c>
      <c r="F99" s="22"/>
      <c r="G99" s="23">
        <f t="shared" si="28"/>
        <v>12595.5</v>
      </c>
      <c r="H99" s="23"/>
      <c r="I99" s="23"/>
      <c r="J99" s="23"/>
      <c r="K99" s="23">
        <f t="shared" si="31"/>
        <v>3778.6499999999996</v>
      </c>
      <c r="L99" s="23">
        <f>20000*C99-G99-K99</f>
        <v>13625.85</v>
      </c>
      <c r="M99" s="23"/>
      <c r="N99" s="23"/>
      <c r="O99" s="23"/>
      <c r="P99" s="23"/>
      <c r="Q99" s="23"/>
      <c r="R99" s="23">
        <f t="shared" si="34"/>
        <v>30000</v>
      </c>
      <c r="S99" s="25">
        <f t="shared" si="32"/>
        <v>240000</v>
      </c>
      <c r="T99" s="52"/>
    </row>
    <row r="100" spans="1:20" x14ac:dyDescent="0.25">
      <c r="A100" s="20" t="s">
        <v>170</v>
      </c>
      <c r="B100" s="21" t="s">
        <v>171</v>
      </c>
      <c r="C100" s="22">
        <v>0.5</v>
      </c>
      <c r="D100" s="22">
        <v>13</v>
      </c>
      <c r="E100" s="23">
        <f>7877*C100</f>
        <v>3938.5</v>
      </c>
      <c r="F100" s="22"/>
      <c r="G100" s="23">
        <f t="shared" si="28"/>
        <v>3938.5</v>
      </c>
      <c r="H100" s="23"/>
      <c r="I100" s="23"/>
      <c r="J100" s="23"/>
      <c r="K100" s="23">
        <f t="shared" si="31"/>
        <v>1181.55</v>
      </c>
      <c r="L100" s="23">
        <f>20000/2-G100-K100</f>
        <v>4879.95</v>
      </c>
      <c r="M100" s="23"/>
      <c r="N100" s="23"/>
      <c r="O100" s="23"/>
      <c r="P100" s="23"/>
      <c r="Q100" s="23"/>
      <c r="R100" s="23">
        <f t="shared" si="34"/>
        <v>10000</v>
      </c>
      <c r="S100" s="25">
        <f t="shared" si="32"/>
        <v>80000</v>
      </c>
      <c r="T100" s="53"/>
    </row>
    <row r="101" spans="1:20" s="14" customFormat="1" x14ac:dyDescent="0.25">
      <c r="A101" s="137" t="s">
        <v>172</v>
      </c>
      <c r="B101" s="21" t="s">
        <v>173</v>
      </c>
      <c r="C101" s="22">
        <v>0.25</v>
      </c>
      <c r="D101" s="22">
        <v>14</v>
      </c>
      <c r="E101" s="23">
        <f>8397*C101</f>
        <v>2099.25</v>
      </c>
      <c r="F101" s="22"/>
      <c r="G101" s="23">
        <f t="shared" si="28"/>
        <v>2099.25</v>
      </c>
      <c r="H101" s="23"/>
      <c r="I101" s="23"/>
      <c r="J101" s="23"/>
      <c r="K101" s="23">
        <f t="shared" si="31"/>
        <v>629.77499999999998</v>
      </c>
      <c r="L101" s="23">
        <f>20000/4-G101-K101</f>
        <v>2270.9749999999999</v>
      </c>
      <c r="M101" s="23"/>
      <c r="N101" s="23"/>
      <c r="O101" s="23"/>
      <c r="P101" s="23"/>
      <c r="Q101" s="23"/>
      <c r="R101" s="23">
        <f t="shared" si="34"/>
        <v>5000</v>
      </c>
      <c r="S101" s="25">
        <f t="shared" si="32"/>
        <v>40000</v>
      </c>
      <c r="T101" s="138"/>
    </row>
    <row r="102" spans="1:20" x14ac:dyDescent="0.25">
      <c r="A102" s="20" t="s">
        <v>174</v>
      </c>
      <c r="B102" s="21" t="s">
        <v>128</v>
      </c>
      <c r="C102" s="22">
        <v>0.5</v>
      </c>
      <c r="D102" s="22">
        <v>9</v>
      </c>
      <c r="E102" s="23">
        <f>6003*C102</f>
        <v>3001.5</v>
      </c>
      <c r="F102" s="22"/>
      <c r="G102" s="23">
        <f t="shared" si="28"/>
        <v>3001.5</v>
      </c>
      <c r="H102" s="23"/>
      <c r="I102" s="23"/>
      <c r="J102" s="23"/>
      <c r="K102" s="23">
        <f t="shared" si="31"/>
        <v>900.44999999999993</v>
      </c>
      <c r="L102" s="23">
        <f>13500*C102-G102-K102</f>
        <v>2848.05</v>
      </c>
      <c r="M102" s="23"/>
      <c r="N102" s="23"/>
      <c r="O102" s="23"/>
      <c r="P102" s="23"/>
      <c r="Q102" s="23"/>
      <c r="R102" s="23">
        <f>G102+K102+L102</f>
        <v>6750</v>
      </c>
      <c r="S102" s="25">
        <f t="shared" si="32"/>
        <v>54000</v>
      </c>
      <c r="T102" s="53"/>
    </row>
    <row r="103" spans="1:20" x14ac:dyDescent="0.25">
      <c r="A103" s="20" t="s">
        <v>175</v>
      </c>
      <c r="B103" s="21" t="s">
        <v>176</v>
      </c>
      <c r="C103" s="22">
        <v>1</v>
      </c>
      <c r="D103" s="22">
        <v>9</v>
      </c>
      <c r="E103" s="23">
        <f>6003*C103</f>
        <v>6003</v>
      </c>
      <c r="F103" s="22">
        <f>E103*0.15</f>
        <v>900.44999999999993</v>
      </c>
      <c r="G103" s="23">
        <f t="shared" si="28"/>
        <v>6903.45</v>
      </c>
      <c r="H103" s="23"/>
      <c r="I103" s="23"/>
      <c r="J103" s="23"/>
      <c r="K103" s="23">
        <f t="shared" si="31"/>
        <v>2071.0349999999999</v>
      </c>
      <c r="L103" s="23">
        <f>13500-G103-K103</f>
        <v>4525.5150000000003</v>
      </c>
      <c r="M103" s="23"/>
      <c r="N103" s="23"/>
      <c r="O103" s="23"/>
      <c r="P103" s="23"/>
      <c r="Q103" s="23"/>
      <c r="R103" s="23">
        <f>G103+K103+L103</f>
        <v>13500</v>
      </c>
      <c r="S103" s="25">
        <f t="shared" si="32"/>
        <v>108000</v>
      </c>
      <c r="T103" s="53"/>
    </row>
    <row r="104" spans="1:20" x14ac:dyDescent="0.25">
      <c r="A104" s="20" t="s">
        <v>177</v>
      </c>
      <c r="B104" s="21" t="s">
        <v>178</v>
      </c>
      <c r="C104" s="22">
        <v>1.5</v>
      </c>
      <c r="D104" s="22">
        <v>7</v>
      </c>
      <c r="E104" s="23">
        <f>5344*C104</f>
        <v>8016</v>
      </c>
      <c r="F104" s="22"/>
      <c r="G104" s="23">
        <f t="shared" si="28"/>
        <v>8016</v>
      </c>
      <c r="H104" s="23"/>
      <c r="I104" s="23">
        <f>G104*0.1</f>
        <v>801.6</v>
      </c>
      <c r="J104" s="23"/>
      <c r="K104" s="23">
        <f t="shared" si="31"/>
        <v>2404.7999999999997</v>
      </c>
      <c r="L104" s="23">
        <f>13500*1.5-G104-I104-K104</f>
        <v>9027.6</v>
      </c>
      <c r="M104" s="23"/>
      <c r="N104" s="23"/>
      <c r="O104" s="23"/>
      <c r="P104" s="23"/>
      <c r="Q104" s="23"/>
      <c r="R104" s="23">
        <f>G104+I104+K104+L104</f>
        <v>20250</v>
      </c>
      <c r="S104" s="25">
        <f t="shared" si="32"/>
        <v>162000</v>
      </c>
      <c r="T104" s="53"/>
    </row>
    <row r="105" spans="1:20" x14ac:dyDescent="0.25">
      <c r="A105" s="20" t="s">
        <v>179</v>
      </c>
      <c r="B105" s="21" t="s">
        <v>91</v>
      </c>
      <c r="C105" s="22">
        <v>5</v>
      </c>
      <c r="D105" s="22">
        <v>9</v>
      </c>
      <c r="E105" s="23">
        <f>6003*C105</f>
        <v>30015</v>
      </c>
      <c r="F105" s="22"/>
      <c r="G105" s="23">
        <f t="shared" si="28"/>
        <v>30015</v>
      </c>
      <c r="H105" s="23"/>
      <c r="I105" s="23"/>
      <c r="J105" s="23"/>
      <c r="K105" s="23">
        <f t="shared" si="31"/>
        <v>9004.5</v>
      </c>
      <c r="L105" s="23">
        <f>13500*C105-G105-K105</f>
        <v>28480.5</v>
      </c>
      <c r="M105" s="23"/>
      <c r="N105" s="23"/>
      <c r="O105" s="23"/>
      <c r="P105" s="23"/>
      <c r="Q105" s="23"/>
      <c r="R105" s="23">
        <f t="shared" ref="R105" si="35">G105+K105+L105</f>
        <v>67500</v>
      </c>
      <c r="S105" s="25">
        <f t="shared" si="32"/>
        <v>540000</v>
      </c>
      <c r="T105" s="53"/>
    </row>
    <row r="106" spans="1:20" x14ac:dyDescent="0.25">
      <c r="A106" s="20" t="s">
        <v>181</v>
      </c>
      <c r="B106" s="21" t="s">
        <v>180</v>
      </c>
      <c r="C106" s="22">
        <v>2</v>
      </c>
      <c r="D106" s="22">
        <v>9</v>
      </c>
      <c r="E106" s="23">
        <f>6003*C106</f>
        <v>12006</v>
      </c>
      <c r="F106" s="22"/>
      <c r="G106" s="23">
        <f t="shared" si="28"/>
        <v>12006</v>
      </c>
      <c r="H106" s="23"/>
      <c r="I106" s="23">
        <f>G106*0.1</f>
        <v>1200.6000000000001</v>
      </c>
      <c r="J106" s="23"/>
      <c r="K106" s="23">
        <f t="shared" si="31"/>
        <v>3601.7999999999997</v>
      </c>
      <c r="L106" s="23">
        <f>13500-G106-K106-I106</f>
        <v>-3308.3999999999996</v>
      </c>
      <c r="M106" s="23"/>
      <c r="N106" s="23"/>
      <c r="O106" s="23"/>
      <c r="P106" s="23"/>
      <c r="Q106" s="23"/>
      <c r="R106" s="23">
        <f>G106+K106+L106+I106</f>
        <v>13500</v>
      </c>
      <c r="S106" s="25">
        <f t="shared" si="32"/>
        <v>108000</v>
      </c>
      <c r="T106" s="53"/>
    </row>
    <row r="107" spans="1:20" x14ac:dyDescent="0.25">
      <c r="A107" s="20" t="s">
        <v>183</v>
      </c>
      <c r="B107" s="21" t="s">
        <v>182</v>
      </c>
      <c r="C107" s="22">
        <v>2</v>
      </c>
      <c r="D107" s="22">
        <v>9</v>
      </c>
      <c r="E107" s="23">
        <f>6003*C107</f>
        <v>12006</v>
      </c>
      <c r="F107" s="22">
        <f>E107*0.15</f>
        <v>1800.8999999999999</v>
      </c>
      <c r="G107" s="23">
        <f t="shared" si="28"/>
        <v>13806.9</v>
      </c>
      <c r="H107" s="23"/>
      <c r="I107" s="23"/>
      <c r="J107" s="23"/>
      <c r="K107" s="23">
        <f t="shared" si="31"/>
        <v>4142.07</v>
      </c>
      <c r="L107" s="23">
        <f>13500*C107-G107-K107</f>
        <v>9051.0300000000007</v>
      </c>
      <c r="M107" s="23"/>
      <c r="N107" s="23"/>
      <c r="O107" s="23"/>
      <c r="P107" s="23"/>
      <c r="Q107" s="23"/>
      <c r="R107" s="23">
        <f t="shared" ref="R107" si="36">G107+K107+L107</f>
        <v>27000</v>
      </c>
      <c r="S107" s="25">
        <f t="shared" si="32"/>
        <v>216000</v>
      </c>
      <c r="T107" s="53"/>
    </row>
    <row r="108" spans="1:20" s="38" customFormat="1" x14ac:dyDescent="0.25">
      <c r="A108" s="20" t="s">
        <v>185</v>
      </c>
      <c r="B108" s="21" t="s">
        <v>184</v>
      </c>
      <c r="C108" s="22">
        <v>0.5</v>
      </c>
      <c r="D108" s="22">
        <v>4</v>
      </c>
      <c r="E108" s="23">
        <f>4407*C108</f>
        <v>2203.5</v>
      </c>
      <c r="F108" s="22"/>
      <c r="G108" s="23">
        <f>E108+F108</f>
        <v>2203.5</v>
      </c>
      <c r="H108" s="23"/>
      <c r="I108" s="23"/>
      <c r="J108" s="23"/>
      <c r="K108" s="23"/>
      <c r="L108" s="23"/>
      <c r="M108" s="23"/>
      <c r="N108" s="23"/>
      <c r="O108" s="23"/>
      <c r="P108" s="23">
        <f>8647/2-G108</f>
        <v>2120</v>
      </c>
      <c r="Q108" s="23"/>
      <c r="R108" s="23">
        <f>G108+I108+P108</f>
        <v>4323.5</v>
      </c>
      <c r="S108" s="25">
        <f t="shared" si="32"/>
        <v>34588</v>
      </c>
      <c r="T108" s="46"/>
    </row>
    <row r="109" spans="1:20" x14ac:dyDescent="0.25">
      <c r="A109" s="20" t="s">
        <v>188</v>
      </c>
      <c r="B109" s="21" t="s">
        <v>134</v>
      </c>
      <c r="C109" s="22">
        <v>5</v>
      </c>
      <c r="D109" s="22">
        <v>3</v>
      </c>
      <c r="E109" s="23">
        <f>4095*C109</f>
        <v>20475</v>
      </c>
      <c r="F109" s="22"/>
      <c r="G109" s="23">
        <f t="shared" si="28"/>
        <v>20475</v>
      </c>
      <c r="H109" s="23"/>
      <c r="I109" s="23">
        <f>G109*0.1</f>
        <v>2047.5</v>
      </c>
      <c r="J109" s="23"/>
      <c r="K109" s="23"/>
      <c r="L109" s="23"/>
      <c r="M109" s="23"/>
      <c r="N109" s="23"/>
      <c r="O109" s="23"/>
      <c r="P109" s="23">
        <f>8647*C109-G109</f>
        <v>22760</v>
      </c>
      <c r="Q109" s="23"/>
      <c r="R109" s="23">
        <f>G109+I109+P109</f>
        <v>45282.5</v>
      </c>
      <c r="S109" s="25">
        <f t="shared" si="32"/>
        <v>362260</v>
      </c>
      <c r="T109" s="53"/>
    </row>
    <row r="110" spans="1:20" s="27" customFormat="1" ht="23.4" customHeight="1" thickBot="1" x14ac:dyDescent="0.3">
      <c r="A110" s="112"/>
      <c r="B110" s="113" t="s">
        <v>59</v>
      </c>
      <c r="C110" s="114">
        <f>SUM(C83:C109)</f>
        <v>33.75</v>
      </c>
      <c r="D110" s="114"/>
      <c r="E110" s="115">
        <f>SUM(E83:E109)</f>
        <v>220420.25</v>
      </c>
      <c r="F110" s="115">
        <f>SUM(F83:F109)</f>
        <v>8675.5499999999993</v>
      </c>
      <c r="G110" s="115">
        <f>SUM(G83:G109)</f>
        <v>229095.80000000002</v>
      </c>
      <c r="H110" s="115"/>
      <c r="I110" s="115">
        <f>SUM(I83:I109)</f>
        <v>4049.7000000000003</v>
      </c>
      <c r="J110" s="115"/>
      <c r="K110" s="115">
        <f>SUM(K83:K109)</f>
        <v>61925.19000000001</v>
      </c>
      <c r="L110" s="115">
        <f>SUM(L83:L109)</f>
        <v>203155.31000000006</v>
      </c>
      <c r="M110" s="115"/>
      <c r="N110" s="115"/>
      <c r="O110" s="115"/>
      <c r="P110" s="115">
        <f>SUM(P108:P109)</f>
        <v>24880</v>
      </c>
      <c r="Q110" s="115"/>
      <c r="R110" s="115">
        <f>SUM(R83:R109)</f>
        <v>523106</v>
      </c>
      <c r="S110" s="116">
        <f>SUM(S83:S109)</f>
        <v>4184848</v>
      </c>
      <c r="T110" s="54"/>
    </row>
    <row r="111" spans="1:20" ht="16.2" customHeight="1" x14ac:dyDescent="0.25">
      <c r="A111" s="15"/>
      <c r="B111" s="86" t="s">
        <v>187</v>
      </c>
      <c r="C111" s="85"/>
      <c r="D111" s="85"/>
      <c r="E111" s="94"/>
      <c r="F111" s="85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  <c r="R111" s="94"/>
      <c r="S111" s="110"/>
      <c r="T111" s="53"/>
    </row>
    <row r="112" spans="1:20" x14ac:dyDescent="0.25">
      <c r="A112" s="20" t="s">
        <v>190</v>
      </c>
      <c r="B112" s="21" t="s">
        <v>189</v>
      </c>
      <c r="C112" s="22">
        <v>0.75</v>
      </c>
      <c r="D112" s="22">
        <v>10</v>
      </c>
      <c r="E112" s="23">
        <f>6315*C112</f>
        <v>4736.25</v>
      </c>
      <c r="F112" s="22">
        <f>E112*0.15</f>
        <v>710.4375</v>
      </c>
      <c r="G112" s="23">
        <f t="shared" ref="G112:G116" si="37">E112+F112</f>
        <v>5446.6875</v>
      </c>
      <c r="H112" s="23"/>
      <c r="I112" s="23">
        <f>G112*0.1</f>
        <v>544.66875000000005</v>
      </c>
      <c r="J112" s="23"/>
      <c r="K112" s="23">
        <f>G112*0.3</f>
        <v>1634.0062499999999</v>
      </c>
      <c r="L112" s="23">
        <f>20000*C112-G112-I112-K112</f>
        <v>7374.6374999999989</v>
      </c>
      <c r="M112" s="23"/>
      <c r="N112" s="23"/>
      <c r="O112" s="23"/>
      <c r="P112" s="23"/>
      <c r="Q112" s="23"/>
      <c r="R112" s="23">
        <f>G112+I112+K112+L112</f>
        <v>14999.999999999998</v>
      </c>
      <c r="S112" s="25">
        <f>R112*8</f>
        <v>119999.99999999999</v>
      </c>
      <c r="T112" s="53"/>
    </row>
    <row r="113" spans="1:20" x14ac:dyDescent="0.25">
      <c r="A113" s="20" t="s">
        <v>192</v>
      </c>
      <c r="B113" s="21" t="s">
        <v>191</v>
      </c>
      <c r="C113" s="22">
        <v>1</v>
      </c>
      <c r="D113" s="22">
        <v>9</v>
      </c>
      <c r="E113" s="23">
        <f>6003*C113</f>
        <v>6003</v>
      </c>
      <c r="F113" s="22">
        <f>E113*0.15</f>
        <v>900.44999999999993</v>
      </c>
      <c r="G113" s="23">
        <f t="shared" si="37"/>
        <v>6903.45</v>
      </c>
      <c r="H113" s="23"/>
      <c r="I113" s="23"/>
      <c r="J113" s="23"/>
      <c r="K113" s="23">
        <f t="shared" ref="K113:K114" si="38">G113*0.3</f>
        <v>2071.0349999999999</v>
      </c>
      <c r="L113" s="23">
        <f>20000-G113-K113</f>
        <v>11025.514999999999</v>
      </c>
      <c r="M113" s="23"/>
      <c r="N113" s="23"/>
      <c r="O113" s="23"/>
      <c r="P113" s="23"/>
      <c r="Q113" s="23"/>
      <c r="R113" s="23">
        <f>G113+I113+K113+L113</f>
        <v>20000</v>
      </c>
      <c r="S113" s="25">
        <f t="shared" ref="S113:S115" si="39">R113*8</f>
        <v>160000</v>
      </c>
      <c r="T113" s="53"/>
    </row>
    <row r="114" spans="1:20" x14ac:dyDescent="0.25">
      <c r="A114" s="20" t="s">
        <v>194</v>
      </c>
      <c r="B114" s="21" t="s">
        <v>193</v>
      </c>
      <c r="C114" s="22">
        <v>3</v>
      </c>
      <c r="D114" s="22">
        <v>10</v>
      </c>
      <c r="E114" s="23">
        <f>6315*C114</f>
        <v>18945</v>
      </c>
      <c r="F114" s="22">
        <f>E114*0.15</f>
        <v>2841.75</v>
      </c>
      <c r="G114" s="23">
        <f t="shared" si="37"/>
        <v>21786.75</v>
      </c>
      <c r="H114" s="23"/>
      <c r="I114" s="23">
        <f>G114*0.1</f>
        <v>2178.6750000000002</v>
      </c>
      <c r="J114" s="23"/>
      <c r="K114" s="23">
        <f t="shared" si="38"/>
        <v>6536.0249999999996</v>
      </c>
      <c r="L114" s="23">
        <f>13500*C114-G114-I114-K114</f>
        <v>9998.5500000000011</v>
      </c>
      <c r="M114" s="23"/>
      <c r="N114" s="23"/>
      <c r="O114" s="23"/>
      <c r="P114" s="23"/>
      <c r="Q114" s="23"/>
      <c r="R114" s="23">
        <f>G114+I114+K114+L114</f>
        <v>40500</v>
      </c>
      <c r="S114" s="25">
        <f t="shared" si="39"/>
        <v>324000</v>
      </c>
      <c r="T114" s="53"/>
    </row>
    <row r="115" spans="1:20" s="38" customFormat="1" x14ac:dyDescent="0.25">
      <c r="A115" s="20" t="s">
        <v>197</v>
      </c>
      <c r="B115" s="21" t="s">
        <v>186</v>
      </c>
      <c r="C115" s="22">
        <v>1</v>
      </c>
      <c r="D115" s="22">
        <v>3</v>
      </c>
      <c r="E115" s="23">
        <f>4095*C115</f>
        <v>4095</v>
      </c>
      <c r="F115" s="22">
        <f>E115*0.15</f>
        <v>614.25</v>
      </c>
      <c r="G115" s="23">
        <f t="shared" si="37"/>
        <v>4709.25</v>
      </c>
      <c r="H115" s="23"/>
      <c r="I115" s="23">
        <f>G115*0.1</f>
        <v>470.92500000000001</v>
      </c>
      <c r="J115" s="23"/>
      <c r="K115" s="23" t="s">
        <v>195</v>
      </c>
      <c r="L115" s="23"/>
      <c r="M115" s="23"/>
      <c r="N115" s="23"/>
      <c r="O115" s="23"/>
      <c r="P115" s="23">
        <f>8647*C115-E115</f>
        <v>4552</v>
      </c>
      <c r="Q115" s="23"/>
      <c r="R115" s="23">
        <f>G115+I115+P115</f>
        <v>9732.1749999999993</v>
      </c>
      <c r="S115" s="25">
        <f t="shared" si="39"/>
        <v>77857.399999999994</v>
      </c>
      <c r="T115" s="46"/>
    </row>
    <row r="116" spans="1:20" s="27" customFormat="1" ht="25.2" customHeight="1" x14ac:dyDescent="0.25">
      <c r="A116" s="112"/>
      <c r="B116" s="113" t="s">
        <v>59</v>
      </c>
      <c r="C116" s="114">
        <f>C112+C113+C114+C115</f>
        <v>5.75</v>
      </c>
      <c r="D116" s="114"/>
      <c r="E116" s="115">
        <f>SUM(E112:E115)</f>
        <v>33779.25</v>
      </c>
      <c r="F116" s="114">
        <f>SUM(F112:F115)</f>
        <v>5066.8874999999998</v>
      </c>
      <c r="G116" s="115">
        <f t="shared" si="37"/>
        <v>38846.137499999997</v>
      </c>
      <c r="H116" s="115"/>
      <c r="I116" s="115">
        <f>SUM(I112:I115)</f>
        <v>3194.2687500000002</v>
      </c>
      <c r="J116" s="115"/>
      <c r="K116" s="115">
        <f>SUM(K112:K115)</f>
        <v>10241.06625</v>
      </c>
      <c r="L116" s="115">
        <f>SUM(L112:L115)</f>
        <v>28398.702499999999</v>
      </c>
      <c r="M116" s="115"/>
      <c r="N116" s="115"/>
      <c r="O116" s="115"/>
      <c r="P116" s="115">
        <f>SUM(P112:P115)</f>
        <v>4552</v>
      </c>
      <c r="Q116" s="115"/>
      <c r="R116" s="115">
        <f>SUM(R112:R115)</f>
        <v>85232.175000000003</v>
      </c>
      <c r="S116" s="31">
        <f>SUM(S112:S115)</f>
        <v>681857.4</v>
      </c>
      <c r="T116" s="54"/>
    </row>
    <row r="117" spans="1:20" s="27" customFormat="1" ht="21.6" customHeight="1" x14ac:dyDescent="0.25">
      <c r="A117" s="125"/>
      <c r="B117" s="126" t="s">
        <v>326</v>
      </c>
      <c r="C117" s="126"/>
      <c r="D117" s="126"/>
      <c r="E117" s="127"/>
      <c r="F117" s="126"/>
      <c r="G117" s="127"/>
      <c r="H117" s="127"/>
      <c r="I117" s="127"/>
      <c r="J117" s="127"/>
      <c r="K117" s="127"/>
      <c r="L117" s="127"/>
      <c r="M117" s="127"/>
      <c r="N117" s="127"/>
      <c r="O117" s="127"/>
      <c r="P117" s="127"/>
      <c r="Q117" s="127"/>
      <c r="R117" s="127"/>
      <c r="S117" s="25"/>
      <c r="T117" s="54"/>
    </row>
    <row r="118" spans="1:20" s="27" customFormat="1" ht="15" customHeight="1" x14ac:dyDescent="0.25">
      <c r="A118" s="128" t="s">
        <v>198</v>
      </c>
      <c r="B118" s="129" t="s">
        <v>323</v>
      </c>
      <c r="C118" s="130">
        <v>0.25</v>
      </c>
      <c r="D118" s="130">
        <v>10</v>
      </c>
      <c r="E118" s="131">
        <f>6315*C118</f>
        <v>1578.75</v>
      </c>
      <c r="F118" s="130">
        <f>E118*0.15</f>
        <v>236.8125</v>
      </c>
      <c r="G118" s="131">
        <f>E118+F118</f>
        <v>1815.5625</v>
      </c>
      <c r="H118" s="131"/>
      <c r="I118" s="131">
        <f>G118*0.1</f>
        <v>181.55625000000001</v>
      </c>
      <c r="J118" s="131"/>
      <c r="K118" s="131">
        <f>G118*0.3</f>
        <v>544.66874999999993</v>
      </c>
      <c r="L118" s="131">
        <f>20000*C118-G118-I118-K118</f>
        <v>2458.2125000000001</v>
      </c>
      <c r="M118" s="131"/>
      <c r="N118" s="131"/>
      <c r="O118" s="131"/>
      <c r="P118" s="131"/>
      <c r="Q118" s="131"/>
      <c r="R118" s="131">
        <f>L118+K118+I118+G118</f>
        <v>5000</v>
      </c>
      <c r="S118" s="25">
        <f>R118*8</f>
        <v>40000</v>
      </c>
      <c r="T118" s="54"/>
    </row>
    <row r="119" spans="1:20" s="27" customFormat="1" ht="13.2" customHeight="1" x14ac:dyDescent="0.25">
      <c r="A119" s="128" t="s">
        <v>199</v>
      </c>
      <c r="B119" s="129" t="s">
        <v>324</v>
      </c>
      <c r="C119" s="130">
        <v>0.25</v>
      </c>
      <c r="D119" s="130">
        <v>10</v>
      </c>
      <c r="E119" s="131">
        <f>6315*C119</f>
        <v>1578.75</v>
      </c>
      <c r="F119" s="130">
        <f>E119*0.15</f>
        <v>236.8125</v>
      </c>
      <c r="G119" s="131">
        <f>E119+F119</f>
        <v>1815.5625</v>
      </c>
      <c r="H119" s="131"/>
      <c r="I119" s="131">
        <f>G119*0.1</f>
        <v>181.55625000000001</v>
      </c>
      <c r="J119" s="131"/>
      <c r="K119" s="131">
        <f>G119*0.3</f>
        <v>544.66874999999993</v>
      </c>
      <c r="L119" s="131">
        <f>20000*C119-G119-I119-K119</f>
        <v>2458.2125000000001</v>
      </c>
      <c r="M119" s="131"/>
      <c r="N119" s="131"/>
      <c r="O119" s="131"/>
      <c r="P119" s="131"/>
      <c r="Q119" s="131"/>
      <c r="R119" s="131">
        <f t="shared" ref="R119" si="40">L119+K119+I119+G119</f>
        <v>5000</v>
      </c>
      <c r="S119" s="25">
        <f>R119*8</f>
        <v>40000</v>
      </c>
      <c r="T119" s="54"/>
    </row>
    <row r="120" spans="1:20" s="27" customFormat="1" ht="21.6" customHeight="1" x14ac:dyDescent="0.25">
      <c r="A120" s="128"/>
      <c r="B120" s="132" t="s">
        <v>59</v>
      </c>
      <c r="C120" s="126">
        <v>0.5</v>
      </c>
      <c r="D120" s="126"/>
      <c r="E120" s="127">
        <f>SUM(E118:E119)</f>
        <v>3157.5</v>
      </c>
      <c r="F120" s="126">
        <f>SUM(F118:F119)</f>
        <v>473.625</v>
      </c>
      <c r="G120" s="127">
        <f>SUM(G118:G119)</f>
        <v>3631.125</v>
      </c>
      <c r="H120" s="127"/>
      <c r="I120" s="127">
        <f>SUM(I118:I119)</f>
        <v>363.11250000000001</v>
      </c>
      <c r="J120" s="127"/>
      <c r="K120" s="127">
        <f>SUM(K118:K119)</f>
        <v>1089.3374999999999</v>
      </c>
      <c r="L120" s="127">
        <f>SUM(L118:L119)</f>
        <v>4916.4250000000002</v>
      </c>
      <c r="M120" s="127"/>
      <c r="N120" s="127"/>
      <c r="O120" s="127"/>
      <c r="P120" s="127"/>
      <c r="Q120" s="127"/>
      <c r="R120" s="127">
        <f>SUM(R118:R119)</f>
        <v>10000</v>
      </c>
      <c r="S120" s="127">
        <f>SUM(S118:S119)</f>
        <v>80000</v>
      </c>
      <c r="T120" s="54"/>
    </row>
    <row r="121" spans="1:20" ht="23.4" customHeight="1" x14ac:dyDescent="0.25">
      <c r="A121" s="133"/>
      <c r="B121" s="29" t="s">
        <v>327</v>
      </c>
      <c r="C121" s="29"/>
      <c r="D121" s="29"/>
      <c r="E121" s="30"/>
      <c r="F121" s="29"/>
      <c r="G121" s="23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53"/>
    </row>
    <row r="122" spans="1:20" ht="14.4" customHeight="1" x14ac:dyDescent="0.25">
      <c r="A122" s="20" t="s">
        <v>198</v>
      </c>
      <c r="B122" s="21" t="s">
        <v>110</v>
      </c>
      <c r="C122" s="22">
        <v>0.25</v>
      </c>
      <c r="D122" s="22">
        <v>10</v>
      </c>
      <c r="E122" s="23">
        <f>6315*C122</f>
        <v>1578.75</v>
      </c>
      <c r="F122" s="22">
        <f t="shared" ref="F122:F125" si="41">E122*0.15</f>
        <v>236.8125</v>
      </c>
      <c r="G122" s="23">
        <f t="shared" si="19"/>
        <v>1815.5625</v>
      </c>
      <c r="H122" s="23"/>
      <c r="I122" s="23"/>
      <c r="J122" s="23"/>
      <c r="K122" s="23">
        <f>G122*0.3</f>
        <v>544.66874999999993</v>
      </c>
      <c r="L122" s="23">
        <f>20000*C122-G122-K122</f>
        <v>2639.7687500000002</v>
      </c>
      <c r="M122" s="23"/>
      <c r="N122" s="23"/>
      <c r="O122" s="23"/>
      <c r="P122" s="23"/>
      <c r="Q122" s="23"/>
      <c r="R122" s="23">
        <f t="shared" ref="R122:R123" si="42">G122+K122+L122</f>
        <v>5000</v>
      </c>
      <c r="S122" s="25">
        <f>R122*8</f>
        <v>40000</v>
      </c>
      <c r="T122" s="53"/>
    </row>
    <row r="123" spans="1:20" x14ac:dyDescent="0.25">
      <c r="A123" s="20" t="s">
        <v>199</v>
      </c>
      <c r="B123" s="21" t="s">
        <v>104</v>
      </c>
      <c r="C123" s="22">
        <v>0.25</v>
      </c>
      <c r="D123" s="22">
        <v>10</v>
      </c>
      <c r="E123" s="23">
        <f>6315*C123</f>
        <v>1578.75</v>
      </c>
      <c r="F123" s="22">
        <f t="shared" si="41"/>
        <v>236.8125</v>
      </c>
      <c r="G123" s="23">
        <f t="shared" si="19"/>
        <v>1815.5625</v>
      </c>
      <c r="H123" s="23"/>
      <c r="I123" s="23"/>
      <c r="J123" s="23"/>
      <c r="K123" s="23">
        <f t="shared" ref="K123:K124" si="43">G123*0.3</f>
        <v>544.66874999999993</v>
      </c>
      <c r="L123" s="23">
        <f>20000*C123-G123-K123</f>
        <v>2639.7687500000002</v>
      </c>
      <c r="M123" s="23"/>
      <c r="N123" s="23"/>
      <c r="O123" s="23"/>
      <c r="P123" s="23"/>
      <c r="Q123" s="23"/>
      <c r="R123" s="23">
        <f t="shared" si="42"/>
        <v>5000</v>
      </c>
      <c r="S123" s="25">
        <f t="shared" ref="S123:S125" si="44">R123*8</f>
        <v>40000</v>
      </c>
      <c r="T123" s="53"/>
    </row>
    <row r="124" spans="1:20" x14ac:dyDescent="0.25">
      <c r="A124" s="20" t="s">
        <v>200</v>
      </c>
      <c r="B124" s="21" t="s">
        <v>130</v>
      </c>
      <c r="C124" s="22">
        <v>3.5</v>
      </c>
      <c r="D124" s="22">
        <v>9</v>
      </c>
      <c r="E124" s="23">
        <f>6003*C124</f>
        <v>21010.5</v>
      </c>
      <c r="F124" s="22">
        <f t="shared" si="41"/>
        <v>3151.5749999999998</v>
      </c>
      <c r="G124" s="23">
        <f t="shared" si="19"/>
        <v>24162.075000000001</v>
      </c>
      <c r="H124" s="23"/>
      <c r="I124" s="23">
        <f t="shared" ref="I124:I125" si="45">G124*0.1</f>
        <v>2416.2075</v>
      </c>
      <c r="J124" s="23"/>
      <c r="K124" s="23">
        <f t="shared" si="43"/>
        <v>7248.6225000000004</v>
      </c>
      <c r="L124" s="23">
        <f>13500*C124-G124-K124-I124-N124</f>
        <v>11157.194999999998</v>
      </c>
      <c r="M124" s="23"/>
      <c r="N124" s="23">
        <f>647.4*C124</f>
        <v>2265.9</v>
      </c>
      <c r="O124" s="23"/>
      <c r="P124" s="23"/>
      <c r="Q124" s="23"/>
      <c r="R124" s="23">
        <f>G124+K124+L124+I124+N124</f>
        <v>47250</v>
      </c>
      <c r="S124" s="25">
        <f t="shared" si="44"/>
        <v>378000</v>
      </c>
      <c r="T124" s="53"/>
    </row>
    <row r="125" spans="1:20" s="13" customFormat="1" x14ac:dyDescent="0.2">
      <c r="A125" s="28" t="s">
        <v>202</v>
      </c>
      <c r="B125" s="21" t="s">
        <v>134</v>
      </c>
      <c r="C125" s="22">
        <v>2.5</v>
      </c>
      <c r="D125" s="22">
        <v>4</v>
      </c>
      <c r="E125" s="23">
        <f>4407*C125</f>
        <v>11017.5</v>
      </c>
      <c r="F125" s="22">
        <f t="shared" si="41"/>
        <v>1652.625</v>
      </c>
      <c r="G125" s="23">
        <f t="shared" si="19"/>
        <v>12670.125</v>
      </c>
      <c r="H125" s="23"/>
      <c r="I125" s="23">
        <f t="shared" si="45"/>
        <v>1267.0125</v>
      </c>
      <c r="J125" s="23"/>
      <c r="K125" s="23"/>
      <c r="L125" s="23"/>
      <c r="M125" s="23"/>
      <c r="N125" s="23">
        <f>475.33*C125</f>
        <v>1188.325</v>
      </c>
      <c r="O125" s="23"/>
      <c r="P125" s="23">
        <f>8647*C125-E125</f>
        <v>10600</v>
      </c>
      <c r="Q125" s="23"/>
      <c r="R125" s="23">
        <f>G125+I125+P125+N125</f>
        <v>25725.462500000001</v>
      </c>
      <c r="S125" s="25">
        <f t="shared" si="44"/>
        <v>205803.7</v>
      </c>
      <c r="T125" s="52"/>
    </row>
    <row r="126" spans="1:20" s="27" customFormat="1" ht="21.6" customHeight="1" thickBot="1" x14ac:dyDescent="0.3">
      <c r="A126" s="64"/>
      <c r="B126" s="117" t="s">
        <v>59</v>
      </c>
      <c r="C126" s="34">
        <f>SUM(C122:C125)</f>
        <v>6.5</v>
      </c>
      <c r="D126" s="34"/>
      <c r="E126" s="35">
        <f>SUM(E122:E125)</f>
        <v>35185.5</v>
      </c>
      <c r="F126" s="34">
        <f>SUM(F122:F125)</f>
        <v>5277.8249999999998</v>
      </c>
      <c r="G126" s="35">
        <f>SUM(G122:G125)</f>
        <v>40463.324999999997</v>
      </c>
      <c r="H126" s="35"/>
      <c r="I126" s="35">
        <f>SUM(I122:I125)</f>
        <v>3683.2200000000003</v>
      </c>
      <c r="J126" s="35"/>
      <c r="K126" s="35">
        <f>SUM(K122:K125)</f>
        <v>8337.9600000000009</v>
      </c>
      <c r="L126" s="35">
        <f>SUM(L122:L125)</f>
        <v>16436.732499999998</v>
      </c>
      <c r="M126" s="35"/>
      <c r="N126" s="35">
        <f>SUM(N122:N125)</f>
        <v>3454.2250000000004</v>
      </c>
      <c r="O126" s="35"/>
      <c r="P126" s="35">
        <f>SUM(P122:P125)</f>
        <v>10600</v>
      </c>
      <c r="Q126" s="35"/>
      <c r="R126" s="35">
        <f>SUM(R122:R125)</f>
        <v>82975.462499999994</v>
      </c>
      <c r="S126" s="36">
        <f>SUM(S122:S125)</f>
        <v>663803.69999999995</v>
      </c>
      <c r="T126" s="54"/>
    </row>
    <row r="127" spans="1:20" s="56" customFormat="1" ht="27" customHeight="1" x14ac:dyDescent="0.25">
      <c r="A127" s="15"/>
      <c r="B127" s="86" t="s">
        <v>201</v>
      </c>
      <c r="C127" s="85"/>
      <c r="D127" s="85"/>
      <c r="E127" s="94"/>
      <c r="F127" s="85"/>
      <c r="G127" s="94"/>
      <c r="H127" s="94"/>
      <c r="I127" s="94"/>
      <c r="J127" s="94"/>
      <c r="K127" s="94"/>
      <c r="L127" s="94"/>
      <c r="M127" s="94"/>
      <c r="N127" s="94"/>
      <c r="O127" s="94"/>
      <c r="P127" s="94"/>
      <c r="Q127" s="94"/>
      <c r="R127" s="94"/>
      <c r="S127" s="110"/>
      <c r="T127" s="58"/>
    </row>
    <row r="128" spans="1:20" s="13" customFormat="1" x14ac:dyDescent="0.25">
      <c r="A128" s="20" t="s">
        <v>203</v>
      </c>
      <c r="B128" s="59" t="s">
        <v>100</v>
      </c>
      <c r="C128" s="22">
        <v>1</v>
      </c>
      <c r="D128" s="22">
        <v>13</v>
      </c>
      <c r="E128" s="23">
        <f>7877*C128</f>
        <v>7877</v>
      </c>
      <c r="F128" s="22">
        <f>E128*0.2</f>
        <v>1575.4</v>
      </c>
      <c r="G128" s="23">
        <f t="shared" ref="G128:G129" si="46">E128+F128</f>
        <v>9452.4</v>
      </c>
      <c r="H128" s="23"/>
      <c r="I128" s="23"/>
      <c r="J128" s="23"/>
      <c r="K128" s="23">
        <f t="shared" ref="K128:K129" si="47">G128*0.3</f>
        <v>2835.72</v>
      </c>
      <c r="L128" s="23">
        <f t="shared" ref="L128" si="48">20000-G128-K128</f>
        <v>7711.880000000001</v>
      </c>
      <c r="M128" s="23"/>
      <c r="N128" s="23"/>
      <c r="O128" s="23"/>
      <c r="P128" s="23"/>
      <c r="Q128" s="23"/>
      <c r="R128" s="23">
        <f>G128+K128+L128+O128</f>
        <v>20000</v>
      </c>
      <c r="S128" s="25">
        <f>R128*8</f>
        <v>160000</v>
      </c>
      <c r="T128" s="52"/>
    </row>
    <row r="129" spans="1:20" s="38" customFormat="1" x14ac:dyDescent="0.25">
      <c r="A129" s="57" t="s">
        <v>205</v>
      </c>
      <c r="B129" s="21" t="s">
        <v>128</v>
      </c>
      <c r="C129" s="22">
        <v>1</v>
      </c>
      <c r="D129" s="22">
        <v>10</v>
      </c>
      <c r="E129" s="23">
        <f>6315*C129</f>
        <v>6315</v>
      </c>
      <c r="F129" s="22">
        <f>E129*0.1</f>
        <v>631.5</v>
      </c>
      <c r="G129" s="23">
        <f t="shared" si="46"/>
        <v>6946.5</v>
      </c>
      <c r="H129" s="23"/>
      <c r="I129" s="23"/>
      <c r="J129" s="23"/>
      <c r="K129" s="23">
        <f t="shared" si="47"/>
        <v>2083.9499999999998</v>
      </c>
      <c r="L129" s="23">
        <f>13500-G129-K129</f>
        <v>4469.55</v>
      </c>
      <c r="M129" s="23"/>
      <c r="N129" s="23"/>
      <c r="O129" s="23"/>
      <c r="P129" s="23"/>
      <c r="Q129" s="23"/>
      <c r="R129" s="23">
        <f>G129+K129+L129</f>
        <v>13500</v>
      </c>
      <c r="S129" s="25">
        <f>R129*8</f>
        <v>108000</v>
      </c>
      <c r="T129" s="46"/>
    </row>
    <row r="130" spans="1:20" x14ac:dyDescent="0.25">
      <c r="A130" s="28"/>
      <c r="B130" s="50"/>
      <c r="C130" s="60"/>
      <c r="D130" s="60"/>
      <c r="E130" s="61"/>
      <c r="F130" s="60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25">
        <f t="shared" ref="S130:S131" si="49">R130*9</f>
        <v>0</v>
      </c>
      <c r="T130" s="53"/>
    </row>
    <row r="131" spans="1:20" ht="21" customHeight="1" x14ac:dyDescent="0.25">
      <c r="A131" s="20"/>
      <c r="B131" s="63" t="s">
        <v>204</v>
      </c>
      <c r="C131" s="29"/>
      <c r="D131" s="29"/>
      <c r="E131" s="30"/>
      <c r="F131" s="29"/>
      <c r="G131" s="23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25">
        <f t="shared" si="49"/>
        <v>0</v>
      </c>
      <c r="T131" s="53"/>
    </row>
    <row r="132" spans="1:20" ht="11.4" customHeight="1" x14ac:dyDescent="0.25">
      <c r="A132" s="20" t="s">
        <v>207</v>
      </c>
      <c r="B132" s="21" t="s">
        <v>206</v>
      </c>
      <c r="C132" s="22">
        <v>4.5</v>
      </c>
      <c r="D132" s="22">
        <v>14</v>
      </c>
      <c r="E132" s="23">
        <f>8397*C132</f>
        <v>37786.5</v>
      </c>
      <c r="F132" s="22"/>
      <c r="G132" s="23">
        <f t="shared" ref="G132:G138" si="50">E132+F132</f>
        <v>37786.5</v>
      </c>
      <c r="H132" s="23"/>
      <c r="I132" s="23"/>
      <c r="J132" s="23"/>
      <c r="K132" s="23">
        <f t="shared" ref="K132" si="51">G132*0.3</f>
        <v>11335.949999999999</v>
      </c>
      <c r="L132" s="23">
        <f>20000*C132-G132-K132</f>
        <v>40877.550000000003</v>
      </c>
      <c r="M132" s="23"/>
      <c r="N132" s="23"/>
      <c r="O132" s="23"/>
      <c r="P132" s="23"/>
      <c r="Q132" s="23"/>
      <c r="R132" s="23">
        <f>G132+K132+L132+O132</f>
        <v>90000</v>
      </c>
      <c r="S132" s="25">
        <f>R132*8</f>
        <v>720000</v>
      </c>
    </row>
    <row r="133" spans="1:20" x14ac:dyDescent="0.25">
      <c r="A133" s="20" t="s">
        <v>209</v>
      </c>
      <c r="B133" s="21" t="s">
        <v>208</v>
      </c>
      <c r="C133" s="22">
        <v>1</v>
      </c>
      <c r="D133" s="22">
        <v>13</v>
      </c>
      <c r="E133" s="23">
        <f>7877*C133</f>
        <v>7877</v>
      </c>
      <c r="F133" s="22"/>
      <c r="G133" s="23">
        <f t="shared" si="50"/>
        <v>7877</v>
      </c>
      <c r="H133" s="23"/>
      <c r="I133" s="23"/>
      <c r="J133" s="23"/>
      <c r="K133" s="23">
        <f>G133*0.3</f>
        <v>2363.1</v>
      </c>
      <c r="L133" s="23">
        <f>20000-G133-K133</f>
        <v>9759.9</v>
      </c>
      <c r="M133" s="23"/>
      <c r="N133" s="23"/>
      <c r="O133" s="23"/>
      <c r="P133" s="23"/>
      <c r="Q133" s="23"/>
      <c r="R133" s="23">
        <f>G133+K133+L133+O133</f>
        <v>20000</v>
      </c>
      <c r="S133" s="25">
        <f t="shared" ref="S133:S138" si="52">R133*8</f>
        <v>160000</v>
      </c>
    </row>
    <row r="134" spans="1:20" s="13" customFormat="1" x14ac:dyDescent="0.25">
      <c r="A134" s="20" t="s">
        <v>210</v>
      </c>
      <c r="B134" s="21" t="s">
        <v>112</v>
      </c>
      <c r="C134" s="22">
        <v>1</v>
      </c>
      <c r="D134" s="22">
        <v>12</v>
      </c>
      <c r="E134" s="23">
        <f>7356*C134</f>
        <v>7356</v>
      </c>
      <c r="F134" s="22"/>
      <c r="G134" s="23">
        <f t="shared" si="50"/>
        <v>7356</v>
      </c>
      <c r="H134" s="23"/>
      <c r="I134" s="23"/>
      <c r="J134" s="23"/>
      <c r="K134" s="23">
        <f t="shared" ref="K134:K136" si="53">G134*0.3</f>
        <v>2206.7999999999997</v>
      </c>
      <c r="L134" s="23">
        <f t="shared" ref="L134" si="54">20000-G134-K134</f>
        <v>10437.200000000001</v>
      </c>
      <c r="M134" s="23"/>
      <c r="N134" s="23"/>
      <c r="O134" s="23"/>
      <c r="P134" s="23"/>
      <c r="Q134" s="23"/>
      <c r="R134" s="23">
        <f>G134+K134+L134+O134</f>
        <v>20000</v>
      </c>
      <c r="S134" s="25">
        <f t="shared" si="52"/>
        <v>160000</v>
      </c>
    </row>
    <row r="135" spans="1:20" x14ac:dyDescent="0.25">
      <c r="A135" s="20" t="s">
        <v>213</v>
      </c>
      <c r="B135" s="21" t="s">
        <v>211</v>
      </c>
      <c r="C135" s="22">
        <v>5</v>
      </c>
      <c r="D135" s="22">
        <v>10</v>
      </c>
      <c r="E135" s="23">
        <f>6315*C135</f>
        <v>31575</v>
      </c>
      <c r="F135" s="22"/>
      <c r="G135" s="23">
        <f t="shared" si="50"/>
        <v>31575</v>
      </c>
      <c r="H135" s="23"/>
      <c r="I135" s="23">
        <f>G135*0.1</f>
        <v>3157.5</v>
      </c>
      <c r="J135" s="23"/>
      <c r="K135" s="23">
        <f t="shared" si="53"/>
        <v>9472.5</v>
      </c>
      <c r="L135" s="23">
        <f>13500*C135-G135-I135-K135</f>
        <v>23295</v>
      </c>
      <c r="M135" s="23"/>
      <c r="N135" s="23"/>
      <c r="O135" s="23"/>
      <c r="P135" s="23"/>
      <c r="Q135" s="23"/>
      <c r="R135" s="23">
        <f>G135+I135+K135+L135</f>
        <v>67500</v>
      </c>
      <c r="S135" s="25">
        <f t="shared" si="52"/>
        <v>540000</v>
      </c>
      <c r="T135" s="53"/>
    </row>
    <row r="136" spans="1:20" s="13" customFormat="1" x14ac:dyDescent="0.25">
      <c r="A136" s="20" t="s">
        <v>214</v>
      </c>
      <c r="B136" s="21" t="s">
        <v>91</v>
      </c>
      <c r="C136" s="22">
        <v>1</v>
      </c>
      <c r="D136" s="22">
        <v>10</v>
      </c>
      <c r="E136" s="23">
        <f>6315*C136</f>
        <v>6315</v>
      </c>
      <c r="F136" s="22"/>
      <c r="G136" s="23">
        <f t="shared" si="50"/>
        <v>6315</v>
      </c>
      <c r="H136" s="23"/>
      <c r="I136" s="23"/>
      <c r="J136" s="23"/>
      <c r="K136" s="23">
        <f t="shared" si="53"/>
        <v>1894.5</v>
      </c>
      <c r="L136" s="23">
        <f t="shared" ref="L136:L137" si="55">13500-G136-K136</f>
        <v>5290.5</v>
      </c>
      <c r="M136" s="23"/>
      <c r="N136" s="23"/>
      <c r="O136" s="23"/>
      <c r="P136" s="23"/>
      <c r="Q136" s="23"/>
      <c r="R136" s="23">
        <f t="shared" ref="R136:R137" si="56">G136+K136+L136</f>
        <v>13500</v>
      </c>
      <c r="S136" s="25">
        <f t="shared" si="52"/>
        <v>108000</v>
      </c>
    </row>
    <row r="137" spans="1:20" x14ac:dyDescent="0.25">
      <c r="A137" s="20" t="s">
        <v>216</v>
      </c>
      <c r="B137" s="21" t="s">
        <v>215</v>
      </c>
      <c r="C137" s="22">
        <v>1</v>
      </c>
      <c r="D137" s="22">
        <v>10</v>
      </c>
      <c r="E137" s="23">
        <f>6315*C137</f>
        <v>6315</v>
      </c>
      <c r="F137" s="22"/>
      <c r="G137" s="23">
        <f t="shared" si="50"/>
        <v>6315</v>
      </c>
      <c r="H137" s="23"/>
      <c r="I137" s="23"/>
      <c r="J137" s="23"/>
      <c r="K137" s="23">
        <f>G137*0.3</f>
        <v>1894.5</v>
      </c>
      <c r="L137" s="23">
        <f t="shared" si="55"/>
        <v>5290.5</v>
      </c>
      <c r="M137" s="23"/>
      <c r="N137" s="23"/>
      <c r="O137" s="23"/>
      <c r="P137" s="23"/>
      <c r="Q137" s="23"/>
      <c r="R137" s="23">
        <f t="shared" si="56"/>
        <v>13500</v>
      </c>
      <c r="S137" s="25">
        <f t="shared" si="52"/>
        <v>108000</v>
      </c>
    </row>
    <row r="138" spans="1:20" x14ac:dyDescent="0.25">
      <c r="A138" s="20" t="s">
        <v>218</v>
      </c>
      <c r="B138" s="21" t="s">
        <v>134</v>
      </c>
      <c r="C138" s="22">
        <v>2</v>
      </c>
      <c r="D138" s="22">
        <v>3</v>
      </c>
      <c r="E138" s="23">
        <f>4095*C138</f>
        <v>8190</v>
      </c>
      <c r="F138" s="22"/>
      <c r="G138" s="23">
        <f t="shared" si="50"/>
        <v>8190</v>
      </c>
      <c r="H138" s="23"/>
      <c r="I138" s="23">
        <f>G138*0.1</f>
        <v>819</v>
      </c>
      <c r="J138" s="23"/>
      <c r="K138" s="23"/>
      <c r="L138" s="23"/>
      <c r="M138" s="23"/>
      <c r="N138" s="23"/>
      <c r="O138" s="23"/>
      <c r="P138" s="23">
        <f>8647*C138-G138</f>
        <v>9104</v>
      </c>
      <c r="Q138" s="23"/>
      <c r="R138" s="23">
        <f>SUM(G138:Q138)</f>
        <v>18113</v>
      </c>
      <c r="S138" s="25">
        <f t="shared" si="52"/>
        <v>144904</v>
      </c>
    </row>
    <row r="139" spans="1:20" s="27" customFormat="1" ht="25.8" customHeight="1" thickBot="1" x14ac:dyDescent="0.3">
      <c r="A139" s="64"/>
      <c r="B139" s="47" t="s">
        <v>59</v>
      </c>
      <c r="C139" s="34">
        <f>SUM(C128:C138)</f>
        <v>17.5</v>
      </c>
      <c r="D139" s="34"/>
      <c r="E139" s="35">
        <f>SUM(E128:E138)</f>
        <v>119606.5</v>
      </c>
      <c r="F139" s="34">
        <f>SUM(F128:F138)</f>
        <v>2206.9</v>
      </c>
      <c r="G139" s="35">
        <f>SUM(G128:G138)</f>
        <v>121813.4</v>
      </c>
      <c r="H139" s="35"/>
      <c r="I139" s="35">
        <f>SUM(I128:I138)</f>
        <v>3976.5</v>
      </c>
      <c r="J139" s="35"/>
      <c r="K139" s="35">
        <f>SUM(K128:K138)</f>
        <v>34087.019999999997</v>
      </c>
      <c r="L139" s="35">
        <f>SUM(L128:L138)</f>
        <v>107132.08</v>
      </c>
      <c r="M139" s="35">
        <f>SUM(M138:M138)</f>
        <v>0</v>
      </c>
      <c r="N139" s="35"/>
      <c r="O139" s="35">
        <f>SUM(O133:O138)</f>
        <v>0</v>
      </c>
      <c r="P139" s="35">
        <f>SUM(P138:P138)</f>
        <v>9104</v>
      </c>
      <c r="Q139" s="35"/>
      <c r="R139" s="35">
        <f>SUM(R128:R138)</f>
        <v>276113</v>
      </c>
      <c r="S139" s="36">
        <f>SUM(S128:S138)</f>
        <v>2208904</v>
      </c>
    </row>
    <row r="140" spans="1:20" ht="27.6" customHeight="1" x14ac:dyDescent="0.25">
      <c r="A140" s="15"/>
      <c r="B140" s="55" t="s">
        <v>217</v>
      </c>
      <c r="C140" s="85"/>
      <c r="D140" s="85"/>
      <c r="E140" s="94"/>
      <c r="F140" s="85"/>
      <c r="G140" s="94"/>
      <c r="H140" s="94"/>
      <c r="I140" s="94"/>
      <c r="J140" s="94"/>
      <c r="K140" s="94"/>
      <c r="L140" s="94"/>
      <c r="M140" s="94"/>
      <c r="N140" s="94"/>
      <c r="O140" s="94"/>
      <c r="P140" s="94"/>
      <c r="Q140" s="94"/>
      <c r="R140" s="94"/>
      <c r="S140" s="110"/>
    </row>
    <row r="141" spans="1:20" x14ac:dyDescent="0.25">
      <c r="A141" s="20" t="s">
        <v>221</v>
      </c>
      <c r="B141" s="21" t="s">
        <v>219</v>
      </c>
      <c r="C141" s="22">
        <v>6.5</v>
      </c>
      <c r="D141" s="22">
        <v>10</v>
      </c>
      <c r="E141" s="23">
        <f>6315*C141</f>
        <v>41047.5</v>
      </c>
      <c r="F141" s="22"/>
      <c r="G141" s="23">
        <f t="shared" ref="G141:G142" si="57">E141+F141</f>
        <v>41047.5</v>
      </c>
      <c r="H141" s="23"/>
      <c r="I141" s="23"/>
      <c r="J141" s="23"/>
      <c r="K141" s="23">
        <f t="shared" ref="K141" si="58">G141*0.3</f>
        <v>12314.25</v>
      </c>
      <c r="L141" s="23">
        <f>13500*C141-G141-K141-N141</f>
        <v>29960.904999999999</v>
      </c>
      <c r="M141" s="23"/>
      <c r="N141" s="23">
        <f>681.13*C141</f>
        <v>4427.3450000000003</v>
      </c>
      <c r="O141" s="23"/>
      <c r="P141" s="23"/>
      <c r="Q141" s="23"/>
      <c r="R141" s="23">
        <f t="shared" ref="R141" si="59">G141+K141+L141+N141</f>
        <v>87750</v>
      </c>
      <c r="S141" s="25">
        <f>R141*8</f>
        <v>702000</v>
      </c>
    </row>
    <row r="142" spans="1:20" x14ac:dyDescent="0.25">
      <c r="A142" s="20" t="s">
        <v>223</v>
      </c>
      <c r="B142" s="21" t="s">
        <v>78</v>
      </c>
      <c r="C142" s="22">
        <v>5</v>
      </c>
      <c r="D142" s="22">
        <v>4</v>
      </c>
      <c r="E142" s="23">
        <f>4407*C142</f>
        <v>22035</v>
      </c>
      <c r="F142" s="22"/>
      <c r="G142" s="23">
        <f t="shared" si="57"/>
        <v>22035</v>
      </c>
      <c r="H142" s="23"/>
      <c r="I142" s="23"/>
      <c r="J142" s="23"/>
      <c r="K142" s="23"/>
      <c r="L142" s="23"/>
      <c r="M142" s="23"/>
      <c r="N142" s="23">
        <f>475.33*C142</f>
        <v>2376.65</v>
      </c>
      <c r="O142" s="23"/>
      <c r="P142" s="23">
        <f>8647*C142-G142</f>
        <v>21200</v>
      </c>
      <c r="Q142" s="23"/>
      <c r="R142" s="23">
        <f>E142+P142+N142</f>
        <v>45611.65</v>
      </c>
      <c r="S142" s="25">
        <f>R142*8</f>
        <v>364893.2</v>
      </c>
    </row>
    <row r="143" spans="1:20" s="27" customFormat="1" ht="22.2" customHeight="1" thickBot="1" x14ac:dyDescent="0.3">
      <c r="A143" s="64"/>
      <c r="B143" s="47" t="s">
        <v>59</v>
      </c>
      <c r="C143" s="34">
        <f>SUM(C141:C142)</f>
        <v>11.5</v>
      </c>
      <c r="D143" s="34"/>
      <c r="E143" s="35">
        <f>SUM(E141:E142)</f>
        <v>63082.5</v>
      </c>
      <c r="F143" s="34"/>
      <c r="G143" s="35">
        <f>SUM(G141:G142)</f>
        <v>63082.5</v>
      </c>
      <c r="H143" s="35"/>
      <c r="I143" s="35"/>
      <c r="J143" s="35"/>
      <c r="K143" s="35">
        <f>SUM(K141:K142)</f>
        <v>12314.25</v>
      </c>
      <c r="L143" s="35">
        <f>SUM(L141:L142)</f>
        <v>29960.904999999999</v>
      </c>
      <c r="M143" s="35"/>
      <c r="N143" s="35">
        <f>SUM(N141:N142)</f>
        <v>6803.9950000000008</v>
      </c>
      <c r="O143" s="35"/>
      <c r="P143" s="35">
        <f>SUM(P141:P142)</f>
        <v>21200</v>
      </c>
      <c r="Q143" s="35"/>
      <c r="R143" s="35">
        <f>SUM(R141:R142)</f>
        <v>133361.65</v>
      </c>
      <c r="S143" s="36">
        <f>SUM(S141:S142)</f>
        <v>1066893.2</v>
      </c>
    </row>
    <row r="144" spans="1:20" ht="29.4" customHeight="1" x14ac:dyDescent="0.25">
      <c r="A144" s="15"/>
      <c r="B144" s="55" t="s">
        <v>222</v>
      </c>
      <c r="C144" s="85"/>
      <c r="D144" s="85"/>
      <c r="E144" s="94"/>
      <c r="F144" s="85"/>
      <c r="G144" s="94"/>
      <c r="H144" s="94"/>
      <c r="I144" s="94"/>
      <c r="J144" s="94"/>
      <c r="K144" s="94"/>
      <c r="L144" s="94"/>
      <c r="M144" s="94"/>
      <c r="N144" s="94"/>
      <c r="O144" s="94"/>
      <c r="P144" s="94"/>
      <c r="Q144" s="94"/>
      <c r="R144" s="94"/>
      <c r="S144" s="110"/>
    </row>
    <row r="145" spans="1:20" x14ac:dyDescent="0.25">
      <c r="A145" s="20" t="s">
        <v>224</v>
      </c>
      <c r="B145" s="21" t="s">
        <v>206</v>
      </c>
      <c r="C145" s="22">
        <v>1</v>
      </c>
      <c r="D145" s="22">
        <v>12</v>
      </c>
      <c r="E145" s="23">
        <f>7356*C145</f>
        <v>7356</v>
      </c>
      <c r="F145" s="22">
        <f>E145*0.1</f>
        <v>735.6</v>
      </c>
      <c r="G145" s="23">
        <f t="shared" ref="G145:G150" si="60">E145+F145</f>
        <v>8091.6</v>
      </c>
      <c r="H145" s="23"/>
      <c r="I145" s="23"/>
      <c r="J145" s="23"/>
      <c r="K145" s="23">
        <f>G145*0.3</f>
        <v>2427.48</v>
      </c>
      <c r="L145" s="23">
        <f>20000*C145-G145-K145</f>
        <v>9480.92</v>
      </c>
      <c r="M145" s="23"/>
      <c r="N145" s="23"/>
      <c r="O145" s="23"/>
      <c r="P145" s="23"/>
      <c r="Q145" s="23"/>
      <c r="R145" s="23">
        <f>G145+K145+L145</f>
        <v>20000</v>
      </c>
      <c r="S145" s="25">
        <f>R145*8</f>
        <v>160000</v>
      </c>
    </row>
    <row r="146" spans="1:20" x14ac:dyDescent="0.25">
      <c r="A146" s="20" t="s">
        <v>225</v>
      </c>
      <c r="B146" s="21" t="s">
        <v>91</v>
      </c>
      <c r="C146" s="22">
        <v>1</v>
      </c>
      <c r="D146" s="22">
        <v>7</v>
      </c>
      <c r="E146" s="23">
        <f>5344*C146</f>
        <v>5344</v>
      </c>
      <c r="F146" s="22"/>
      <c r="G146" s="23">
        <f t="shared" si="60"/>
        <v>5344</v>
      </c>
      <c r="H146" s="23"/>
      <c r="I146" s="23"/>
      <c r="J146" s="23"/>
      <c r="K146" s="23">
        <f>G146*0.3</f>
        <v>1603.2</v>
      </c>
      <c r="L146" s="23">
        <f>13500-G146-K146</f>
        <v>6552.8</v>
      </c>
      <c r="M146" s="23"/>
      <c r="N146" s="23"/>
      <c r="O146" s="23"/>
      <c r="P146" s="23"/>
      <c r="Q146" s="23"/>
      <c r="R146" s="23">
        <f>G146+K146+L146</f>
        <v>13500</v>
      </c>
      <c r="S146" s="25">
        <f t="shared" ref="S146:S147" si="61">R146*8</f>
        <v>108000</v>
      </c>
    </row>
    <row r="147" spans="1:20" x14ac:dyDescent="0.25">
      <c r="A147" s="20" t="s">
        <v>226</v>
      </c>
      <c r="B147" s="21" t="s">
        <v>134</v>
      </c>
      <c r="C147" s="22">
        <v>1</v>
      </c>
      <c r="D147" s="22">
        <v>3</v>
      </c>
      <c r="E147" s="23">
        <f>4095*C147</f>
        <v>4095</v>
      </c>
      <c r="F147" s="22"/>
      <c r="G147" s="23">
        <f t="shared" si="60"/>
        <v>4095</v>
      </c>
      <c r="H147" s="23"/>
      <c r="I147" s="23">
        <f>G147*0.1</f>
        <v>409.5</v>
      </c>
      <c r="J147" s="23"/>
      <c r="K147" s="23"/>
      <c r="L147" s="23"/>
      <c r="M147" s="23"/>
      <c r="N147" s="23"/>
      <c r="O147" s="23"/>
      <c r="P147" s="23">
        <f>8647-G147</f>
        <v>4552</v>
      </c>
      <c r="Q147" s="23"/>
      <c r="R147" s="23">
        <f>SUM(G147:Q147)</f>
        <v>9056.5</v>
      </c>
      <c r="S147" s="25">
        <f t="shared" si="61"/>
        <v>72452</v>
      </c>
    </row>
    <row r="148" spans="1:20" x14ac:dyDescent="0.25">
      <c r="A148" s="20" t="s">
        <v>228</v>
      </c>
      <c r="B148" s="21" t="s">
        <v>227</v>
      </c>
      <c r="C148" s="22">
        <v>1.75</v>
      </c>
      <c r="D148" s="22">
        <v>1</v>
      </c>
      <c r="E148" s="23">
        <f>3470*C148</f>
        <v>6072.5</v>
      </c>
      <c r="F148" s="22"/>
      <c r="G148" s="23">
        <f t="shared" si="60"/>
        <v>6072.5</v>
      </c>
      <c r="H148" s="23"/>
      <c r="I148" s="23"/>
      <c r="J148" s="23"/>
      <c r="K148" s="23"/>
      <c r="L148" s="23"/>
      <c r="M148" s="23"/>
      <c r="N148" s="23"/>
      <c r="O148" s="23"/>
      <c r="P148" s="23">
        <f>8647*C148-G148</f>
        <v>9059.75</v>
      </c>
      <c r="Q148" s="23"/>
      <c r="R148" s="23">
        <f>SUM(G148:Q148)</f>
        <v>15132.25</v>
      </c>
      <c r="S148" s="25">
        <f>R148*3</f>
        <v>45396.75</v>
      </c>
    </row>
    <row r="149" spans="1:20" s="38" customFormat="1" x14ac:dyDescent="0.25">
      <c r="A149" s="20" t="s">
        <v>231</v>
      </c>
      <c r="B149" s="21" t="s">
        <v>229</v>
      </c>
      <c r="C149" s="22">
        <v>0.5</v>
      </c>
      <c r="D149" s="22">
        <v>1</v>
      </c>
      <c r="E149" s="23">
        <f>3470*C149</f>
        <v>1735</v>
      </c>
      <c r="F149" s="22"/>
      <c r="G149" s="23">
        <f t="shared" si="60"/>
        <v>1735</v>
      </c>
      <c r="H149" s="23"/>
      <c r="I149" s="23"/>
      <c r="J149" s="23"/>
      <c r="K149" s="23"/>
      <c r="L149" s="23"/>
      <c r="M149" s="23"/>
      <c r="N149" s="23"/>
      <c r="O149" s="23"/>
      <c r="P149" s="23">
        <f>4323.5-G149</f>
        <v>2588.5</v>
      </c>
      <c r="Q149" s="23"/>
      <c r="R149" s="23">
        <f>SUM(G149:Q149)</f>
        <v>4323.5</v>
      </c>
      <c r="S149" s="25">
        <f>R149*8</f>
        <v>34588</v>
      </c>
    </row>
    <row r="150" spans="1:20" s="27" customFormat="1" ht="27" customHeight="1" thickBot="1" x14ac:dyDescent="0.3">
      <c r="A150" s="64"/>
      <c r="B150" s="47" t="s">
        <v>59</v>
      </c>
      <c r="C150" s="34">
        <f>SUM(C145:C149)</f>
        <v>5.25</v>
      </c>
      <c r="D150" s="34"/>
      <c r="E150" s="35">
        <f>SUM(E145:E149)</f>
        <v>24602.5</v>
      </c>
      <c r="F150" s="34">
        <f>SUM(F145:F149)</f>
        <v>735.6</v>
      </c>
      <c r="G150" s="35">
        <f t="shared" si="60"/>
        <v>25338.1</v>
      </c>
      <c r="H150" s="35"/>
      <c r="I150" s="35">
        <f>SUM(I147:I149)</f>
        <v>409.5</v>
      </c>
      <c r="J150" s="35"/>
      <c r="K150" s="35">
        <f>SUM(K145:K149)</f>
        <v>4030.6800000000003</v>
      </c>
      <c r="L150" s="35">
        <f>SUM(L145:L149)</f>
        <v>16033.720000000001</v>
      </c>
      <c r="M150" s="35"/>
      <c r="N150" s="35"/>
      <c r="O150" s="35"/>
      <c r="P150" s="35">
        <f>SUM(P145:P149)</f>
        <v>16200.25</v>
      </c>
      <c r="Q150" s="35"/>
      <c r="R150" s="35">
        <f>SUM(R145:R149)</f>
        <v>62012.25</v>
      </c>
      <c r="S150" s="36">
        <f>SUM(S145:S149)</f>
        <v>420436.75</v>
      </c>
    </row>
    <row r="151" spans="1:20" ht="23.4" customHeight="1" x14ac:dyDescent="0.25">
      <c r="A151" s="15"/>
      <c r="B151" s="55" t="s">
        <v>230</v>
      </c>
      <c r="C151" s="85"/>
      <c r="D151" s="85"/>
      <c r="E151" s="94"/>
      <c r="F151" s="85"/>
      <c r="G151" s="94"/>
      <c r="H151" s="94"/>
      <c r="I151" s="94"/>
      <c r="J151" s="94"/>
      <c r="K151" s="94"/>
      <c r="L151" s="94"/>
      <c r="M151" s="94"/>
      <c r="N151" s="94"/>
      <c r="O151" s="94"/>
      <c r="P151" s="94"/>
      <c r="Q151" s="94"/>
      <c r="R151" s="94"/>
      <c r="S151" s="110"/>
    </row>
    <row r="152" spans="1:20" x14ac:dyDescent="0.25">
      <c r="A152" s="20" t="s">
        <v>233</v>
      </c>
      <c r="B152" s="21" t="s">
        <v>232</v>
      </c>
      <c r="C152" s="22">
        <v>1.25</v>
      </c>
      <c r="D152" s="22">
        <v>13</v>
      </c>
      <c r="E152" s="23">
        <f>7877*C152</f>
        <v>9846.25</v>
      </c>
      <c r="F152" s="22">
        <f>E152*0.1</f>
        <v>984.625</v>
      </c>
      <c r="G152" s="23">
        <f t="shared" ref="G152:G156" si="62">E152+F152</f>
        <v>10830.875</v>
      </c>
      <c r="H152" s="23"/>
      <c r="I152" s="23"/>
      <c r="J152" s="23"/>
      <c r="K152" s="23">
        <f>G152*0.3</f>
        <v>3249.2624999999998</v>
      </c>
      <c r="L152" s="23">
        <f>20000*C152-G152-K152</f>
        <v>10919.862499999999</v>
      </c>
      <c r="M152" s="23"/>
      <c r="N152" s="23"/>
      <c r="O152" s="23"/>
      <c r="P152" s="23"/>
      <c r="Q152" s="23"/>
      <c r="R152" s="23">
        <f>G152+K152+L152+O152</f>
        <v>25000</v>
      </c>
      <c r="S152" s="25">
        <f>R152*8</f>
        <v>200000</v>
      </c>
    </row>
    <row r="153" spans="1:20" x14ac:dyDescent="0.25">
      <c r="A153" s="20" t="s">
        <v>234</v>
      </c>
      <c r="B153" s="21" t="s">
        <v>212</v>
      </c>
      <c r="C153" s="22">
        <v>2</v>
      </c>
      <c r="D153" s="22">
        <v>10</v>
      </c>
      <c r="E153" s="23">
        <f>6315*C153</f>
        <v>12630</v>
      </c>
      <c r="F153" s="22"/>
      <c r="G153" s="23">
        <f t="shared" si="62"/>
        <v>12630</v>
      </c>
      <c r="H153" s="23"/>
      <c r="I153" s="23"/>
      <c r="J153" s="23"/>
      <c r="K153" s="23">
        <f t="shared" ref="K153:K154" si="63">G153*0.3</f>
        <v>3789</v>
      </c>
      <c r="L153" s="23">
        <f>13500*C153-G153-K153</f>
        <v>10581</v>
      </c>
      <c r="M153" s="23"/>
      <c r="N153" s="23"/>
      <c r="O153" s="23"/>
      <c r="P153" s="23"/>
      <c r="Q153" s="23"/>
      <c r="R153" s="23">
        <f>G153+K153+L153</f>
        <v>27000</v>
      </c>
      <c r="S153" s="25">
        <f t="shared" ref="S153:S155" si="64">R153*8</f>
        <v>216000</v>
      </c>
    </row>
    <row r="154" spans="1:20" s="13" customFormat="1" x14ac:dyDescent="0.25">
      <c r="A154" s="20" t="s">
        <v>236</v>
      </c>
      <c r="B154" s="21" t="s">
        <v>235</v>
      </c>
      <c r="C154" s="22">
        <v>1</v>
      </c>
      <c r="D154" s="22">
        <v>7</v>
      </c>
      <c r="E154" s="23">
        <f>5344*C154</f>
        <v>5344</v>
      </c>
      <c r="F154" s="22"/>
      <c r="G154" s="23">
        <f t="shared" si="62"/>
        <v>5344</v>
      </c>
      <c r="H154" s="23"/>
      <c r="I154" s="23"/>
      <c r="J154" s="23"/>
      <c r="K154" s="23">
        <f t="shared" si="63"/>
        <v>1603.2</v>
      </c>
      <c r="L154" s="23">
        <f>13500-G154-K154</f>
        <v>6552.8</v>
      </c>
      <c r="M154" s="23"/>
      <c r="N154" s="23"/>
      <c r="O154" s="23"/>
      <c r="P154" s="23"/>
      <c r="Q154" s="23"/>
      <c r="R154" s="23">
        <f>G154+L154+K154</f>
        <v>13500</v>
      </c>
      <c r="S154" s="25">
        <f t="shared" si="64"/>
        <v>108000</v>
      </c>
    </row>
    <row r="155" spans="1:20" s="38" customFormat="1" x14ac:dyDescent="0.25">
      <c r="A155" s="20" t="s">
        <v>238</v>
      </c>
      <c r="B155" s="21" t="s">
        <v>134</v>
      </c>
      <c r="C155" s="22">
        <v>1</v>
      </c>
      <c r="D155" s="22">
        <v>3</v>
      </c>
      <c r="E155" s="23">
        <f>4095*C155</f>
        <v>4095</v>
      </c>
      <c r="F155" s="22"/>
      <c r="G155" s="23">
        <f t="shared" si="62"/>
        <v>4095</v>
      </c>
      <c r="H155" s="23"/>
      <c r="I155" s="23">
        <f>G155*0.1</f>
        <v>409.5</v>
      </c>
      <c r="J155" s="23"/>
      <c r="K155" s="23"/>
      <c r="L155" s="23"/>
      <c r="M155" s="23"/>
      <c r="N155" s="23"/>
      <c r="O155" s="23"/>
      <c r="P155" s="23">
        <f>8647-G155</f>
        <v>4552</v>
      </c>
      <c r="Q155" s="23"/>
      <c r="R155" s="23">
        <f>G155+I155+P155</f>
        <v>9056.5</v>
      </c>
      <c r="S155" s="25">
        <f t="shared" si="64"/>
        <v>72452</v>
      </c>
      <c r="T155" s="46"/>
    </row>
    <row r="156" spans="1:20" s="27" customFormat="1" ht="27" customHeight="1" thickBot="1" x14ac:dyDescent="0.3">
      <c r="A156" s="64"/>
      <c r="B156" s="47" t="s">
        <v>59</v>
      </c>
      <c r="C156" s="34">
        <f>SUM(C152:C155)</f>
        <v>5.25</v>
      </c>
      <c r="D156" s="34"/>
      <c r="E156" s="35">
        <f>SUM(E152:E155)</f>
        <v>31915.25</v>
      </c>
      <c r="F156" s="34">
        <f>SUM(F152:F155)</f>
        <v>984.625</v>
      </c>
      <c r="G156" s="35">
        <f t="shared" si="62"/>
        <v>32899.875</v>
      </c>
      <c r="H156" s="35"/>
      <c r="I156" s="35">
        <f>SUM(I155)</f>
        <v>409.5</v>
      </c>
      <c r="J156" s="35"/>
      <c r="K156" s="35">
        <f>SUM(K152:K155)</f>
        <v>8641.4624999999996</v>
      </c>
      <c r="L156" s="35">
        <f>SUM(L152:L155)</f>
        <v>28053.662499999999</v>
      </c>
      <c r="M156" s="35">
        <f>SUM(M152:M154)</f>
        <v>0</v>
      </c>
      <c r="N156" s="35"/>
      <c r="O156" s="35">
        <f>SUM(O152:O155)</f>
        <v>0</v>
      </c>
      <c r="P156" s="35">
        <f>SUM(P155)</f>
        <v>4552</v>
      </c>
      <c r="Q156" s="35"/>
      <c r="R156" s="35">
        <f>SUM(R152:R155)</f>
        <v>74556.5</v>
      </c>
      <c r="S156" s="36">
        <f>SUM(S152:S155)</f>
        <v>596452</v>
      </c>
    </row>
    <row r="157" spans="1:20" ht="17.399999999999999" customHeight="1" x14ac:dyDescent="0.25">
      <c r="A157" s="15"/>
      <c r="B157" s="55" t="s">
        <v>237</v>
      </c>
      <c r="C157" s="85"/>
      <c r="D157" s="85"/>
      <c r="E157" s="94"/>
      <c r="F157" s="85"/>
      <c r="G157" s="94"/>
      <c r="H157" s="94"/>
      <c r="I157" s="94"/>
      <c r="J157" s="94"/>
      <c r="K157" s="94"/>
      <c r="L157" s="94"/>
      <c r="M157" s="94"/>
      <c r="N157" s="94"/>
      <c r="O157" s="94"/>
      <c r="P157" s="94"/>
      <c r="Q157" s="94"/>
      <c r="R157" s="94"/>
      <c r="S157" s="110"/>
    </row>
    <row r="158" spans="1:20" x14ac:dyDescent="0.25">
      <c r="A158" s="20" t="s">
        <v>239</v>
      </c>
      <c r="B158" s="21" t="s">
        <v>206</v>
      </c>
      <c r="C158" s="22">
        <v>2.25</v>
      </c>
      <c r="D158" s="22">
        <v>11</v>
      </c>
      <c r="E158" s="23">
        <f>6836*C158</f>
        <v>15381</v>
      </c>
      <c r="F158" s="22">
        <f>E158*0.1</f>
        <v>1538.1000000000001</v>
      </c>
      <c r="G158" s="23">
        <f t="shared" ref="G158:G163" si="65">E158+F158</f>
        <v>16919.099999999999</v>
      </c>
      <c r="H158" s="23"/>
      <c r="I158" s="23"/>
      <c r="J158" s="23"/>
      <c r="K158" s="23">
        <f>G158*0.3</f>
        <v>5075.7299999999996</v>
      </c>
      <c r="L158" s="23">
        <f>20000*C158-G158-K158</f>
        <v>23005.170000000002</v>
      </c>
      <c r="M158" s="23"/>
      <c r="N158" s="23"/>
      <c r="O158" s="23"/>
      <c r="P158" s="23"/>
      <c r="Q158" s="23"/>
      <c r="R158" s="23">
        <f>SUM(G158:Q158)</f>
        <v>45000</v>
      </c>
      <c r="S158" s="25">
        <f>R158*8</f>
        <v>360000</v>
      </c>
    </row>
    <row r="159" spans="1:20" x14ac:dyDescent="0.25">
      <c r="A159" s="20" t="s">
        <v>240</v>
      </c>
      <c r="B159" s="21" t="s">
        <v>241</v>
      </c>
      <c r="C159" s="22">
        <v>2</v>
      </c>
      <c r="D159" s="22">
        <v>10</v>
      </c>
      <c r="E159" s="23">
        <f>6315*C159</f>
        <v>12630</v>
      </c>
      <c r="F159" s="22"/>
      <c r="G159" s="23">
        <f t="shared" si="65"/>
        <v>12630</v>
      </c>
      <c r="H159" s="23"/>
      <c r="I159" s="23"/>
      <c r="J159" s="23"/>
      <c r="K159" s="23">
        <f t="shared" ref="K159:K160" si="66">G159*0.3</f>
        <v>3789</v>
      </c>
      <c r="L159" s="23">
        <f>13500*C159-G159-K159</f>
        <v>10581</v>
      </c>
      <c r="M159" s="23"/>
      <c r="N159" s="23"/>
      <c r="O159" s="23"/>
      <c r="P159" s="23"/>
      <c r="Q159" s="23"/>
      <c r="R159" s="23">
        <f>G159+K159+L159</f>
        <v>27000</v>
      </c>
      <c r="S159" s="25">
        <f t="shared" ref="S159:S162" si="67">R159*8</f>
        <v>216000</v>
      </c>
    </row>
    <row r="160" spans="1:20" s="13" customFormat="1" x14ac:dyDescent="0.25">
      <c r="A160" s="20" t="s">
        <v>242</v>
      </c>
      <c r="B160" s="21" t="s">
        <v>91</v>
      </c>
      <c r="C160" s="22">
        <v>2</v>
      </c>
      <c r="D160" s="22">
        <v>9</v>
      </c>
      <c r="E160" s="23">
        <f>6003*C160</f>
        <v>12006</v>
      </c>
      <c r="F160" s="22"/>
      <c r="G160" s="23">
        <f t="shared" si="65"/>
        <v>12006</v>
      </c>
      <c r="H160" s="23"/>
      <c r="I160" s="23"/>
      <c r="J160" s="23"/>
      <c r="K160" s="23">
        <f t="shared" si="66"/>
        <v>3601.7999999999997</v>
      </c>
      <c r="L160" s="23">
        <f>13500*C160-G160-K160</f>
        <v>11392.2</v>
      </c>
      <c r="M160" s="23"/>
      <c r="N160" s="23"/>
      <c r="O160" s="23"/>
      <c r="P160" s="23"/>
      <c r="Q160" s="23"/>
      <c r="R160" s="23">
        <f>G160+K160+L160</f>
        <v>27000</v>
      </c>
      <c r="S160" s="25">
        <f t="shared" si="67"/>
        <v>216000</v>
      </c>
    </row>
    <row r="161" spans="1:20" x14ac:dyDescent="0.25">
      <c r="A161" s="20" t="s">
        <v>243</v>
      </c>
      <c r="B161" s="21" t="s">
        <v>134</v>
      </c>
      <c r="C161" s="22">
        <v>1</v>
      </c>
      <c r="D161" s="22">
        <v>3</v>
      </c>
      <c r="E161" s="23">
        <f>4095*C161</f>
        <v>4095</v>
      </c>
      <c r="F161" s="22"/>
      <c r="G161" s="23">
        <f t="shared" si="65"/>
        <v>4095</v>
      </c>
      <c r="H161" s="23"/>
      <c r="I161" s="23">
        <f>G161*0.1</f>
        <v>409.5</v>
      </c>
      <c r="J161" s="23"/>
      <c r="K161" s="23"/>
      <c r="L161" s="23"/>
      <c r="M161" s="23"/>
      <c r="N161" s="23"/>
      <c r="O161" s="23"/>
      <c r="P161" s="23">
        <f>8647-G161</f>
        <v>4552</v>
      </c>
      <c r="Q161" s="23"/>
      <c r="R161" s="23">
        <f>SUM(G161:Q161)</f>
        <v>9056.5</v>
      </c>
      <c r="S161" s="25">
        <f t="shared" si="67"/>
        <v>72452</v>
      </c>
    </row>
    <row r="162" spans="1:20" s="38" customFormat="1" x14ac:dyDescent="0.25">
      <c r="A162" s="20" t="s">
        <v>244</v>
      </c>
      <c r="B162" s="21" t="s">
        <v>245</v>
      </c>
      <c r="C162" s="22">
        <v>1</v>
      </c>
      <c r="D162" s="22">
        <v>5</v>
      </c>
      <c r="E162" s="23">
        <f>4719*C162</f>
        <v>4719</v>
      </c>
      <c r="F162" s="22"/>
      <c r="G162" s="23">
        <f t="shared" si="65"/>
        <v>4719</v>
      </c>
      <c r="H162" s="23"/>
      <c r="I162" s="23"/>
      <c r="J162" s="23"/>
      <c r="K162" s="23"/>
      <c r="L162" s="23"/>
      <c r="M162" s="23"/>
      <c r="N162" s="23"/>
      <c r="O162" s="23"/>
      <c r="P162" s="23">
        <f>8647-G162</f>
        <v>3928</v>
      </c>
      <c r="Q162" s="23"/>
      <c r="R162" s="23">
        <f>G162+P162</f>
        <v>8647</v>
      </c>
      <c r="S162" s="25">
        <f t="shared" si="67"/>
        <v>69176</v>
      </c>
    </row>
    <row r="163" spans="1:20" s="27" customFormat="1" ht="17.399999999999999" customHeight="1" thickBot="1" x14ac:dyDescent="0.3">
      <c r="A163" s="64"/>
      <c r="B163" s="47" t="s">
        <v>59</v>
      </c>
      <c r="C163" s="34">
        <f>SUM(C158:C162)</f>
        <v>8.25</v>
      </c>
      <c r="D163" s="34"/>
      <c r="E163" s="35">
        <f>SUM(E158:E162)</f>
        <v>48831</v>
      </c>
      <c r="F163" s="34">
        <f>SUM(F158:F162)</f>
        <v>1538.1000000000001</v>
      </c>
      <c r="G163" s="35">
        <f t="shared" si="65"/>
        <v>50369.1</v>
      </c>
      <c r="H163" s="35"/>
      <c r="I163" s="35">
        <f>SUM(I161:I162)</f>
        <v>409.5</v>
      </c>
      <c r="J163" s="35"/>
      <c r="K163" s="35">
        <f>SUM(K158:K162)</f>
        <v>12466.529999999999</v>
      </c>
      <c r="L163" s="35">
        <f>SUM(L158:L162)</f>
        <v>44978.369999999995</v>
      </c>
      <c r="M163" s="35">
        <f>M158</f>
        <v>0</v>
      </c>
      <c r="N163" s="35"/>
      <c r="O163" s="35">
        <f>SUM(O158:O162)</f>
        <v>0</v>
      </c>
      <c r="P163" s="35">
        <f>SUM(P161:P162)</f>
        <v>8480</v>
      </c>
      <c r="Q163" s="35"/>
      <c r="R163" s="35">
        <f>SUM(R158:R162)</f>
        <v>116703.5</v>
      </c>
      <c r="S163" s="36">
        <f>SUM(S158:S162)</f>
        <v>933628</v>
      </c>
    </row>
    <row r="164" spans="1:20" s="13" customFormat="1" ht="25.8" customHeight="1" x14ac:dyDescent="0.2">
      <c r="A164" s="18"/>
      <c r="B164" s="55" t="s">
        <v>246</v>
      </c>
      <c r="C164" s="85"/>
      <c r="D164" s="85"/>
      <c r="E164" s="94"/>
      <c r="F164" s="85"/>
      <c r="G164" s="94"/>
      <c r="H164" s="94"/>
      <c r="I164" s="94"/>
      <c r="J164" s="94"/>
      <c r="K164" s="94"/>
      <c r="L164" s="94"/>
      <c r="M164" s="94"/>
      <c r="N164" s="94"/>
      <c r="O164" s="94"/>
      <c r="P164" s="94"/>
      <c r="Q164" s="94"/>
      <c r="R164" s="94"/>
      <c r="S164" s="110"/>
    </row>
    <row r="165" spans="1:20" x14ac:dyDescent="0.25">
      <c r="A165" s="20" t="s">
        <v>247</v>
      </c>
      <c r="B165" s="21" t="s">
        <v>232</v>
      </c>
      <c r="C165" s="22">
        <v>1.25</v>
      </c>
      <c r="D165" s="22">
        <v>11</v>
      </c>
      <c r="E165" s="23">
        <f>6836*C165</f>
        <v>8545</v>
      </c>
      <c r="F165" s="22">
        <f>E165*0.1</f>
        <v>854.5</v>
      </c>
      <c r="G165" s="23">
        <f t="shared" ref="G165:G168" si="68">E165+F165</f>
        <v>9399.5</v>
      </c>
      <c r="H165" s="23"/>
      <c r="I165" s="23"/>
      <c r="J165" s="23"/>
      <c r="K165" s="23">
        <f>G165*0.3</f>
        <v>2819.85</v>
      </c>
      <c r="L165" s="23">
        <f>20000*C165-G165-K165</f>
        <v>12780.65</v>
      </c>
      <c r="M165" s="23"/>
      <c r="N165" s="23"/>
      <c r="O165" s="23"/>
      <c r="P165" s="23"/>
      <c r="Q165" s="23"/>
      <c r="R165" s="23">
        <f>G165+K165+L165+O165</f>
        <v>25000</v>
      </c>
      <c r="S165" s="25">
        <f>R165*8</f>
        <v>200000</v>
      </c>
      <c r="T165" s="53"/>
    </row>
    <row r="166" spans="1:20" x14ac:dyDescent="0.25">
      <c r="A166" s="20" t="s">
        <v>248</v>
      </c>
      <c r="B166" s="21" t="s">
        <v>235</v>
      </c>
      <c r="C166" s="22">
        <v>1</v>
      </c>
      <c r="D166" s="22">
        <v>10</v>
      </c>
      <c r="E166" s="23">
        <f>6315*C166</f>
        <v>6315</v>
      </c>
      <c r="F166" s="22"/>
      <c r="G166" s="23">
        <f t="shared" si="68"/>
        <v>6315</v>
      </c>
      <c r="H166" s="23"/>
      <c r="I166" s="23"/>
      <c r="J166" s="23"/>
      <c r="K166" s="23">
        <f t="shared" ref="K166:K167" si="69">G166*0.3</f>
        <v>1894.5</v>
      </c>
      <c r="L166" s="23">
        <f>13500-G166-K166</f>
        <v>5290.5</v>
      </c>
      <c r="M166" s="23"/>
      <c r="N166" s="23"/>
      <c r="O166" s="23"/>
      <c r="P166" s="23"/>
      <c r="Q166" s="23"/>
      <c r="R166" s="23">
        <f>G166+K166+L166</f>
        <v>13500</v>
      </c>
      <c r="S166" s="25">
        <f t="shared" ref="S166:S169" si="70">R166*8</f>
        <v>108000</v>
      </c>
    </row>
    <row r="167" spans="1:20" x14ac:dyDescent="0.25">
      <c r="A167" s="20" t="s">
        <v>249</v>
      </c>
      <c r="B167" s="21" t="s">
        <v>91</v>
      </c>
      <c r="C167" s="22">
        <v>0.5</v>
      </c>
      <c r="D167" s="22">
        <v>10</v>
      </c>
      <c r="E167" s="23">
        <f>6315*C167</f>
        <v>3157.5</v>
      </c>
      <c r="F167" s="22"/>
      <c r="G167" s="23">
        <f t="shared" si="68"/>
        <v>3157.5</v>
      </c>
      <c r="H167" s="23"/>
      <c r="I167" s="23"/>
      <c r="J167" s="23"/>
      <c r="K167" s="23">
        <f t="shared" si="69"/>
        <v>947.25</v>
      </c>
      <c r="L167" s="23">
        <f>13500/2-G167-K167</f>
        <v>2645.25</v>
      </c>
      <c r="M167" s="23"/>
      <c r="N167" s="23"/>
      <c r="O167" s="23"/>
      <c r="P167" s="23"/>
      <c r="Q167" s="23"/>
      <c r="R167" s="23">
        <f>G167+K167+L167</f>
        <v>6750</v>
      </c>
      <c r="S167" s="25">
        <f t="shared" si="70"/>
        <v>54000</v>
      </c>
    </row>
    <row r="168" spans="1:20" x14ac:dyDescent="0.25">
      <c r="A168" s="20" t="s">
        <v>250</v>
      </c>
      <c r="B168" s="21" t="s">
        <v>134</v>
      </c>
      <c r="C168" s="22">
        <v>0.5</v>
      </c>
      <c r="D168" s="22">
        <v>3</v>
      </c>
      <c r="E168" s="23">
        <f>4095*C168</f>
        <v>2047.5</v>
      </c>
      <c r="F168" s="22"/>
      <c r="G168" s="23">
        <f t="shared" si="68"/>
        <v>2047.5</v>
      </c>
      <c r="H168" s="23"/>
      <c r="I168" s="23">
        <f>G168*0.1</f>
        <v>204.75</v>
      </c>
      <c r="J168" s="23"/>
      <c r="K168" s="23"/>
      <c r="L168" s="23"/>
      <c r="M168" s="23"/>
      <c r="N168" s="23"/>
      <c r="O168" s="23"/>
      <c r="P168" s="23">
        <f>8647/2-G168</f>
        <v>2276</v>
      </c>
      <c r="Q168" s="23"/>
      <c r="R168" s="23">
        <f>SUM(G168:Q168)</f>
        <v>4528.25</v>
      </c>
      <c r="S168" s="25">
        <f t="shared" si="70"/>
        <v>36226</v>
      </c>
    </row>
    <row r="169" spans="1:20" s="38" customFormat="1" x14ac:dyDescent="0.25">
      <c r="A169" s="20" t="s">
        <v>251</v>
      </c>
      <c r="B169" s="21" t="s">
        <v>229</v>
      </c>
      <c r="C169" s="22">
        <v>0.5</v>
      </c>
      <c r="D169" s="22">
        <v>1</v>
      </c>
      <c r="E169" s="23">
        <f>3470</f>
        <v>3470</v>
      </c>
      <c r="F169" s="22"/>
      <c r="G169" s="23">
        <f>E169+F169</f>
        <v>3470</v>
      </c>
      <c r="H169" s="23"/>
      <c r="I169" s="23"/>
      <c r="J169" s="23"/>
      <c r="K169" s="23"/>
      <c r="L169" s="23"/>
      <c r="M169" s="23"/>
      <c r="N169" s="23"/>
      <c r="O169" s="23"/>
      <c r="P169" s="23">
        <f>8647/2-G169</f>
        <v>853.5</v>
      </c>
      <c r="Q169" s="23"/>
      <c r="R169" s="23">
        <f t="shared" ref="R169" si="71">SUM(G169:Q169)</f>
        <v>4323.5</v>
      </c>
      <c r="S169" s="25">
        <f t="shared" si="70"/>
        <v>34588</v>
      </c>
    </row>
    <row r="170" spans="1:20" s="49" customFormat="1" ht="25.8" customHeight="1" thickBot="1" x14ac:dyDescent="0.3">
      <c r="A170" s="64"/>
      <c r="B170" s="47" t="s">
        <v>59</v>
      </c>
      <c r="C170" s="34">
        <f>SUM(C165:C169)</f>
        <v>3.75</v>
      </c>
      <c r="D170" s="34"/>
      <c r="E170" s="35">
        <f>SUM(E165:E169)</f>
        <v>23535</v>
      </c>
      <c r="F170" s="34">
        <f>SUM(F165:F169)</f>
        <v>854.5</v>
      </c>
      <c r="G170" s="35">
        <f>SUM(G165:G169)</f>
        <v>24389.5</v>
      </c>
      <c r="H170" s="35"/>
      <c r="I170" s="35">
        <f>SUM(I168:I169)</f>
        <v>204.75</v>
      </c>
      <c r="J170" s="35"/>
      <c r="K170" s="35">
        <f>SUM(K165:K169)</f>
        <v>5661.6</v>
      </c>
      <c r="L170" s="35">
        <f>SUM(L165:L169)</f>
        <v>20716.400000000001</v>
      </c>
      <c r="M170" s="35"/>
      <c r="N170" s="35"/>
      <c r="O170" s="35">
        <f>SUM(O165:O169)</f>
        <v>0</v>
      </c>
      <c r="P170" s="35">
        <f>SUM(P168:P169)</f>
        <v>3129.5</v>
      </c>
      <c r="Q170" s="35"/>
      <c r="R170" s="35">
        <f>SUM(R165:R169)</f>
        <v>54101.75</v>
      </c>
      <c r="S170" s="36">
        <f>SUM(S165:S169)</f>
        <v>432814</v>
      </c>
    </row>
    <row r="171" spans="1:20" s="13" customFormat="1" ht="23.4" customHeight="1" x14ac:dyDescent="0.2">
      <c r="A171" s="18"/>
      <c r="B171" s="55" t="s">
        <v>252</v>
      </c>
      <c r="C171" s="85"/>
      <c r="D171" s="85"/>
      <c r="E171" s="94"/>
      <c r="F171" s="85"/>
      <c r="G171" s="94"/>
      <c r="H171" s="94"/>
      <c r="I171" s="94"/>
      <c r="J171" s="94"/>
      <c r="K171" s="94"/>
      <c r="L171" s="94"/>
      <c r="M171" s="94"/>
      <c r="N171" s="94"/>
      <c r="O171" s="94"/>
      <c r="P171" s="94"/>
      <c r="Q171" s="94"/>
      <c r="R171" s="94"/>
      <c r="S171" s="110"/>
    </row>
    <row r="172" spans="1:20" s="13" customFormat="1" x14ac:dyDescent="0.25">
      <c r="A172" s="20" t="s">
        <v>253</v>
      </c>
      <c r="B172" s="21" t="s">
        <v>206</v>
      </c>
      <c r="C172" s="22">
        <v>1</v>
      </c>
      <c r="D172" s="22">
        <v>14</v>
      </c>
      <c r="E172" s="23">
        <f>8397*C172</f>
        <v>8397</v>
      </c>
      <c r="F172" s="22">
        <f>E172*0.1</f>
        <v>839.7</v>
      </c>
      <c r="G172" s="23">
        <f t="shared" ref="G172:G179" si="72">E172+F172</f>
        <v>9236.7000000000007</v>
      </c>
      <c r="H172" s="23"/>
      <c r="I172" s="23"/>
      <c r="J172" s="23"/>
      <c r="K172" s="23">
        <f>G172*0.3</f>
        <v>2771.01</v>
      </c>
      <c r="L172" s="23">
        <f>20000-G172-K172</f>
        <v>7992.2899999999991</v>
      </c>
      <c r="M172" s="23"/>
      <c r="N172" s="23"/>
      <c r="O172" s="23"/>
      <c r="P172" s="23"/>
      <c r="Q172" s="23"/>
      <c r="R172" s="23">
        <f>G172+K172+L172+O172</f>
        <v>20000</v>
      </c>
      <c r="S172" s="25">
        <f>R172*8</f>
        <v>160000</v>
      </c>
    </row>
    <row r="173" spans="1:20" s="13" customFormat="1" x14ac:dyDescent="0.25">
      <c r="A173" s="20" t="s">
        <v>254</v>
      </c>
      <c r="B173" s="21" t="s">
        <v>112</v>
      </c>
      <c r="C173" s="22">
        <v>0.5</v>
      </c>
      <c r="D173" s="22">
        <v>13</v>
      </c>
      <c r="E173" s="23">
        <f>7877*C173</f>
        <v>3938.5</v>
      </c>
      <c r="F173" s="22"/>
      <c r="G173" s="23">
        <f t="shared" si="72"/>
        <v>3938.5</v>
      </c>
      <c r="H173" s="23"/>
      <c r="I173" s="23"/>
      <c r="J173" s="23"/>
      <c r="K173" s="23">
        <f t="shared" ref="K173:K176" si="73">G173*0.3</f>
        <v>1181.55</v>
      </c>
      <c r="L173" s="23">
        <f>20000*C173-G173-K173</f>
        <v>4879.95</v>
      </c>
      <c r="M173" s="23"/>
      <c r="N173" s="23"/>
      <c r="O173" s="23"/>
      <c r="P173" s="23"/>
      <c r="Q173" s="23"/>
      <c r="R173" s="23">
        <f>G173+K173+L173+O173</f>
        <v>10000</v>
      </c>
      <c r="S173" s="25">
        <f t="shared" ref="S173:S178" si="74">R173*8</f>
        <v>80000</v>
      </c>
    </row>
    <row r="174" spans="1:20" x14ac:dyDescent="0.25">
      <c r="A174" s="20" t="s">
        <v>255</v>
      </c>
      <c r="B174" s="21" t="s">
        <v>171</v>
      </c>
      <c r="C174" s="22">
        <v>1</v>
      </c>
      <c r="D174" s="22">
        <v>11</v>
      </c>
      <c r="E174" s="23">
        <f>6836*C174</f>
        <v>6836</v>
      </c>
      <c r="F174" s="22"/>
      <c r="G174" s="23">
        <f t="shared" si="72"/>
        <v>6836</v>
      </c>
      <c r="H174" s="23"/>
      <c r="I174" s="23"/>
      <c r="J174" s="23"/>
      <c r="K174" s="23">
        <f t="shared" si="73"/>
        <v>2050.7999999999997</v>
      </c>
      <c r="L174" s="23">
        <f>20000-G174-K174</f>
        <v>11113.2</v>
      </c>
      <c r="M174" s="23"/>
      <c r="N174" s="23"/>
      <c r="O174" s="23"/>
      <c r="P174" s="23"/>
      <c r="Q174" s="23"/>
      <c r="R174" s="23">
        <f>G174+K174+L174+O174</f>
        <v>20000</v>
      </c>
      <c r="S174" s="25">
        <f t="shared" si="74"/>
        <v>160000</v>
      </c>
    </row>
    <row r="175" spans="1:20" x14ac:dyDescent="0.25">
      <c r="A175" s="20" t="s">
        <v>256</v>
      </c>
      <c r="B175" s="21" t="s">
        <v>212</v>
      </c>
      <c r="C175" s="22">
        <v>1</v>
      </c>
      <c r="D175" s="22">
        <v>10</v>
      </c>
      <c r="E175" s="23">
        <f>6315*C175</f>
        <v>6315</v>
      </c>
      <c r="F175" s="22"/>
      <c r="G175" s="23">
        <f t="shared" si="72"/>
        <v>6315</v>
      </c>
      <c r="H175" s="23"/>
      <c r="I175" s="23"/>
      <c r="J175" s="23"/>
      <c r="K175" s="23">
        <f t="shared" si="73"/>
        <v>1894.5</v>
      </c>
      <c r="L175" s="23">
        <f>13500-G175-K175</f>
        <v>5290.5</v>
      </c>
      <c r="M175" s="23"/>
      <c r="N175" s="23"/>
      <c r="O175" s="23"/>
      <c r="P175" s="23"/>
      <c r="Q175" s="23"/>
      <c r="R175" s="23">
        <f>G175+K175+L175</f>
        <v>13500</v>
      </c>
      <c r="S175" s="25">
        <f t="shared" si="74"/>
        <v>108000</v>
      </c>
    </row>
    <row r="176" spans="1:20" x14ac:dyDescent="0.25">
      <c r="A176" s="20" t="s">
        <v>257</v>
      </c>
      <c r="B176" s="21" t="s">
        <v>235</v>
      </c>
      <c r="C176" s="22">
        <v>2</v>
      </c>
      <c r="D176" s="22">
        <v>10</v>
      </c>
      <c r="E176" s="23">
        <f>5815*C176</f>
        <v>11630</v>
      </c>
      <c r="F176" s="22"/>
      <c r="G176" s="23">
        <f t="shared" si="72"/>
        <v>11630</v>
      </c>
      <c r="H176" s="23"/>
      <c r="I176" s="23"/>
      <c r="J176" s="23"/>
      <c r="K176" s="23">
        <f t="shared" si="73"/>
        <v>3489</v>
      </c>
      <c r="L176" s="23">
        <f>13500*C176-G176-K176</f>
        <v>11881</v>
      </c>
      <c r="M176" s="23"/>
      <c r="N176" s="23"/>
      <c r="O176" s="23"/>
      <c r="P176" s="23"/>
      <c r="Q176" s="23"/>
      <c r="R176" s="23">
        <f t="shared" ref="R176" si="75">G176+K176+L176</f>
        <v>27000</v>
      </c>
      <c r="S176" s="25">
        <f t="shared" si="74"/>
        <v>216000</v>
      </c>
    </row>
    <row r="177" spans="1:20" x14ac:dyDescent="0.25">
      <c r="A177" s="20" t="s">
        <v>258</v>
      </c>
      <c r="B177" s="21" t="s">
        <v>134</v>
      </c>
      <c r="C177" s="22">
        <v>1</v>
      </c>
      <c r="D177" s="22">
        <v>3</v>
      </c>
      <c r="E177" s="23">
        <f>4095*C177</f>
        <v>4095</v>
      </c>
      <c r="F177" s="22"/>
      <c r="G177" s="23">
        <f t="shared" si="72"/>
        <v>4095</v>
      </c>
      <c r="H177" s="23"/>
      <c r="I177" s="23">
        <f>G177*0.1</f>
        <v>409.5</v>
      </c>
      <c r="J177" s="23"/>
      <c r="K177" s="23"/>
      <c r="L177" s="23"/>
      <c r="M177" s="23"/>
      <c r="N177" s="23"/>
      <c r="O177" s="23"/>
      <c r="P177" s="23">
        <f>8647-G177</f>
        <v>4552</v>
      </c>
      <c r="Q177" s="23"/>
      <c r="R177" s="23">
        <f>G177+I177+P177</f>
        <v>9056.5</v>
      </c>
      <c r="S177" s="25">
        <f t="shared" si="74"/>
        <v>72452</v>
      </c>
      <c r="T177" s="53"/>
    </row>
    <row r="178" spans="1:20" s="38" customFormat="1" x14ac:dyDescent="0.25">
      <c r="A178" s="20" t="s">
        <v>260</v>
      </c>
      <c r="B178" s="21" t="s">
        <v>245</v>
      </c>
      <c r="C178" s="22">
        <v>0.5</v>
      </c>
      <c r="D178" s="22">
        <v>5</v>
      </c>
      <c r="E178" s="23">
        <f>4719*C178</f>
        <v>2359.5</v>
      </c>
      <c r="F178" s="22"/>
      <c r="G178" s="23">
        <f t="shared" si="72"/>
        <v>2359.5</v>
      </c>
      <c r="H178" s="23"/>
      <c r="I178" s="23"/>
      <c r="J178" s="23"/>
      <c r="K178" s="23"/>
      <c r="L178" s="23"/>
      <c r="M178" s="23"/>
      <c r="N178" s="23"/>
      <c r="O178" s="23"/>
      <c r="P178" s="23">
        <f>8647/2-G178</f>
        <v>1964</v>
      </c>
      <c r="Q178" s="23"/>
      <c r="R178" s="23">
        <f>SUM(G178:Q178)</f>
        <v>4323.5</v>
      </c>
      <c r="S178" s="25">
        <f t="shared" si="74"/>
        <v>34588</v>
      </c>
    </row>
    <row r="179" spans="1:20" s="49" customFormat="1" ht="45" customHeight="1" thickBot="1" x14ac:dyDescent="0.3">
      <c r="A179" s="64"/>
      <c r="B179" s="47" t="s">
        <v>59</v>
      </c>
      <c r="C179" s="34">
        <f>SUM(C172:C178)</f>
        <v>7</v>
      </c>
      <c r="D179" s="34"/>
      <c r="E179" s="35">
        <f>SUM(E172:E178)</f>
        <v>43571</v>
      </c>
      <c r="F179" s="34">
        <f>SUM(F172:F178)</f>
        <v>839.7</v>
      </c>
      <c r="G179" s="35">
        <f t="shared" si="72"/>
        <v>44410.7</v>
      </c>
      <c r="H179" s="35"/>
      <c r="I179" s="35">
        <f>SUM(I177:I178)</f>
        <v>409.5</v>
      </c>
      <c r="J179" s="35"/>
      <c r="K179" s="35">
        <f>SUM(K172:K178)</f>
        <v>11386.86</v>
      </c>
      <c r="L179" s="35">
        <f>SUM(L172:L178)</f>
        <v>41156.94</v>
      </c>
      <c r="M179" s="35"/>
      <c r="N179" s="35"/>
      <c r="O179" s="35">
        <f>SUM(O172:O178)</f>
        <v>0</v>
      </c>
      <c r="P179" s="35">
        <f>SUM(P172:P178)</f>
        <v>6516</v>
      </c>
      <c r="Q179" s="35"/>
      <c r="R179" s="35">
        <f>SUM(R172:R178)</f>
        <v>103880</v>
      </c>
      <c r="S179" s="36">
        <f>SUM(S172:S178)</f>
        <v>831040</v>
      </c>
    </row>
    <row r="180" spans="1:20" s="13" customFormat="1" ht="22.8" customHeight="1" x14ac:dyDescent="0.2">
      <c r="A180" s="18"/>
      <c r="B180" s="55" t="s">
        <v>259</v>
      </c>
      <c r="C180" s="85"/>
      <c r="D180" s="85"/>
      <c r="E180" s="94"/>
      <c r="F180" s="85"/>
      <c r="G180" s="94"/>
      <c r="H180" s="94"/>
      <c r="I180" s="94"/>
      <c r="J180" s="94"/>
      <c r="K180" s="94"/>
      <c r="L180" s="94"/>
      <c r="M180" s="94"/>
      <c r="N180" s="94"/>
      <c r="O180" s="94"/>
      <c r="P180" s="94"/>
      <c r="Q180" s="94"/>
      <c r="R180" s="94"/>
      <c r="S180" s="110"/>
    </row>
    <row r="181" spans="1:20" s="13" customFormat="1" x14ac:dyDescent="0.25">
      <c r="A181" s="20" t="s">
        <v>261</v>
      </c>
      <c r="B181" s="21" t="s">
        <v>206</v>
      </c>
      <c r="C181" s="22">
        <v>0.75</v>
      </c>
      <c r="D181" s="22">
        <v>14</v>
      </c>
      <c r="E181" s="23">
        <f>8397*C181</f>
        <v>6297.75</v>
      </c>
      <c r="F181" s="22">
        <f>E181*0.1</f>
        <v>629.77500000000009</v>
      </c>
      <c r="G181" s="23">
        <f t="shared" ref="G181:G184" si="76">E181+F181</f>
        <v>6927.5249999999996</v>
      </c>
      <c r="H181" s="23"/>
      <c r="I181" s="23"/>
      <c r="J181" s="23"/>
      <c r="K181" s="23"/>
      <c r="L181" s="23">
        <f>20000*C181-G181</f>
        <v>8072.4750000000004</v>
      </c>
      <c r="M181" s="23"/>
      <c r="N181" s="23"/>
      <c r="O181" s="23"/>
      <c r="P181" s="23"/>
      <c r="Q181" s="23"/>
      <c r="R181" s="23">
        <f>SUM(G181:Q181)</f>
        <v>15000</v>
      </c>
      <c r="S181" s="25">
        <f>R181*8</f>
        <v>120000</v>
      </c>
    </row>
    <row r="182" spans="1:20" x14ac:dyDescent="0.25">
      <c r="A182" s="20" t="s">
        <v>262</v>
      </c>
      <c r="B182" s="21" t="s">
        <v>235</v>
      </c>
      <c r="C182" s="22">
        <v>1</v>
      </c>
      <c r="D182" s="22">
        <v>10</v>
      </c>
      <c r="E182" s="23">
        <f>6315*C182</f>
        <v>6315</v>
      </c>
      <c r="F182" s="22"/>
      <c r="G182" s="23">
        <f t="shared" si="76"/>
        <v>6315</v>
      </c>
      <c r="H182" s="23"/>
      <c r="I182" s="23"/>
      <c r="J182" s="23"/>
      <c r="K182" s="23">
        <f>G182*0.3</f>
        <v>1894.5</v>
      </c>
      <c r="L182" s="23">
        <f>13500-G182-K182</f>
        <v>5290.5</v>
      </c>
      <c r="M182" s="23"/>
      <c r="N182" s="23"/>
      <c r="O182" s="23"/>
      <c r="P182" s="23"/>
      <c r="Q182" s="23"/>
      <c r="R182" s="23">
        <f>G182+K182+L182</f>
        <v>13500</v>
      </c>
      <c r="S182" s="25">
        <f t="shared" ref="S182:S183" si="77">R182*8</f>
        <v>108000</v>
      </c>
      <c r="T182" s="53"/>
    </row>
    <row r="183" spans="1:20" s="38" customFormat="1" x14ac:dyDescent="0.25">
      <c r="A183" s="20" t="s">
        <v>264</v>
      </c>
      <c r="B183" s="21" t="s">
        <v>134</v>
      </c>
      <c r="C183" s="22">
        <v>1</v>
      </c>
      <c r="D183" s="22">
        <v>3</v>
      </c>
      <c r="E183" s="23">
        <f>4095*C183</f>
        <v>4095</v>
      </c>
      <c r="F183" s="22"/>
      <c r="G183" s="23">
        <f t="shared" si="76"/>
        <v>4095</v>
      </c>
      <c r="H183" s="23"/>
      <c r="I183" s="23">
        <f>G183*0.1</f>
        <v>409.5</v>
      </c>
      <c r="J183" s="23"/>
      <c r="K183" s="23"/>
      <c r="L183" s="23"/>
      <c r="M183" s="23"/>
      <c r="N183" s="23"/>
      <c r="O183" s="23"/>
      <c r="P183" s="23">
        <f>8647-G183</f>
        <v>4552</v>
      </c>
      <c r="Q183" s="23"/>
      <c r="R183" s="23">
        <f>G183+I183+P183</f>
        <v>9056.5</v>
      </c>
      <c r="S183" s="25">
        <f t="shared" si="77"/>
        <v>72452</v>
      </c>
    </row>
    <row r="184" spans="1:20" s="49" customFormat="1" ht="23.4" customHeight="1" thickBot="1" x14ac:dyDescent="0.3">
      <c r="A184" s="64"/>
      <c r="B184" s="47" t="s">
        <v>59</v>
      </c>
      <c r="C184" s="34">
        <f>SUM(C181:C183)</f>
        <v>2.75</v>
      </c>
      <c r="D184" s="34"/>
      <c r="E184" s="35">
        <f>SUM(E181:E183)</f>
        <v>16707.75</v>
      </c>
      <c r="F184" s="34">
        <f>SUM(F181:F183)</f>
        <v>629.77500000000009</v>
      </c>
      <c r="G184" s="35">
        <f t="shared" si="76"/>
        <v>17337.525000000001</v>
      </c>
      <c r="H184" s="35"/>
      <c r="I184" s="35">
        <f>SUM(I183)</f>
        <v>409.5</v>
      </c>
      <c r="J184" s="35"/>
      <c r="K184" s="35">
        <f>K182</f>
        <v>1894.5</v>
      </c>
      <c r="L184" s="35">
        <f>L181+L182</f>
        <v>13362.975</v>
      </c>
      <c r="M184" s="35">
        <f>M181</f>
        <v>0</v>
      </c>
      <c r="N184" s="35"/>
      <c r="O184" s="35"/>
      <c r="P184" s="35">
        <f>SUM(P183)</f>
        <v>4552</v>
      </c>
      <c r="Q184" s="35"/>
      <c r="R184" s="35">
        <f>SUM(R181:R183)</f>
        <v>37556.5</v>
      </c>
      <c r="S184" s="36">
        <f>SUM(S181:S183)</f>
        <v>300452</v>
      </c>
    </row>
    <row r="185" spans="1:20" ht="21" customHeight="1" x14ac:dyDescent="0.25">
      <c r="A185" s="15"/>
      <c r="B185" s="55" t="s">
        <v>312</v>
      </c>
      <c r="C185" s="85"/>
      <c r="D185" s="85"/>
      <c r="E185" s="94"/>
      <c r="F185" s="85"/>
      <c r="G185" s="94"/>
      <c r="H185" s="94"/>
      <c r="I185" s="94"/>
      <c r="J185" s="94"/>
      <c r="K185" s="94"/>
      <c r="L185" s="94"/>
      <c r="M185" s="94"/>
      <c r="N185" s="94"/>
      <c r="O185" s="94"/>
      <c r="P185" s="94"/>
      <c r="Q185" s="94"/>
      <c r="R185" s="94"/>
      <c r="S185" s="110"/>
    </row>
    <row r="186" spans="1:20" ht="24.6" customHeight="1" x14ac:dyDescent="0.25">
      <c r="A186" s="20"/>
      <c r="B186" s="44" t="s">
        <v>263</v>
      </c>
      <c r="C186" s="22"/>
      <c r="D186" s="22"/>
      <c r="E186" s="23"/>
      <c r="F186" s="22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5"/>
    </row>
    <row r="187" spans="1:20" x14ac:dyDescent="0.25">
      <c r="A187" s="20" t="s">
        <v>264</v>
      </c>
      <c r="B187" s="21" t="s">
        <v>220</v>
      </c>
      <c r="C187" s="22">
        <v>0.5</v>
      </c>
      <c r="D187" s="22">
        <v>10</v>
      </c>
      <c r="E187" s="23">
        <f>6315*C187</f>
        <v>3157.5</v>
      </c>
      <c r="F187" s="22"/>
      <c r="G187" s="23">
        <f t="shared" ref="G187:G190" si="78">E187+F187</f>
        <v>3157.5</v>
      </c>
      <c r="H187" s="23"/>
      <c r="I187" s="23"/>
      <c r="J187" s="23"/>
      <c r="K187" s="23">
        <f>G187*0.3</f>
        <v>947.25</v>
      </c>
      <c r="L187" s="23">
        <f>R187-K187-G187</f>
        <v>2645.25</v>
      </c>
      <c r="M187" s="23"/>
      <c r="N187" s="23"/>
      <c r="O187" s="23"/>
      <c r="P187" s="23"/>
      <c r="Q187" s="23"/>
      <c r="R187" s="23">
        <v>6750</v>
      </c>
      <c r="S187" s="25">
        <f>R187*8</f>
        <v>54000</v>
      </c>
    </row>
    <row r="188" spans="1:20" x14ac:dyDescent="0.25">
      <c r="A188" s="20" t="s">
        <v>265</v>
      </c>
      <c r="B188" s="21" t="s">
        <v>134</v>
      </c>
      <c r="C188" s="22">
        <v>0.25</v>
      </c>
      <c r="D188" s="22">
        <v>3</v>
      </c>
      <c r="E188" s="23">
        <f>4095*C188</f>
        <v>1023.75</v>
      </c>
      <c r="F188" s="22"/>
      <c r="G188" s="23">
        <f t="shared" si="78"/>
        <v>1023.75</v>
      </c>
      <c r="H188" s="23"/>
      <c r="I188" s="23">
        <f>G188*0.1</f>
        <v>102.375</v>
      </c>
      <c r="J188" s="23"/>
      <c r="K188" s="23"/>
      <c r="L188" s="23"/>
      <c r="M188" s="23"/>
      <c r="N188" s="23"/>
      <c r="O188" s="23"/>
      <c r="P188" s="23">
        <f>8647*0.25-G188</f>
        <v>1138</v>
      </c>
      <c r="Q188" s="23"/>
      <c r="R188" s="23">
        <f>E188+I188+P188</f>
        <v>2264.125</v>
      </c>
      <c r="S188" s="25">
        <f>R188*8</f>
        <v>18113</v>
      </c>
    </row>
    <row r="189" spans="1:20" s="38" customFormat="1" x14ac:dyDescent="0.25">
      <c r="A189" s="20" t="s">
        <v>266</v>
      </c>
      <c r="B189" s="21" t="s">
        <v>267</v>
      </c>
      <c r="C189" s="22">
        <v>0.25</v>
      </c>
      <c r="D189" s="22">
        <v>1</v>
      </c>
      <c r="E189" s="23">
        <f>3470*C189</f>
        <v>867.5</v>
      </c>
      <c r="F189" s="22"/>
      <c r="G189" s="23">
        <f t="shared" si="78"/>
        <v>867.5</v>
      </c>
      <c r="H189" s="23"/>
      <c r="I189" s="23"/>
      <c r="J189" s="23"/>
      <c r="K189" s="23"/>
      <c r="L189" s="23"/>
      <c r="M189" s="23"/>
      <c r="N189" s="23"/>
      <c r="O189" s="23"/>
      <c r="P189" s="23">
        <f>8647*0.25-G189</f>
        <v>1294.25</v>
      </c>
      <c r="Q189" s="23"/>
      <c r="R189" s="23">
        <f>E189+P189</f>
        <v>2161.75</v>
      </c>
      <c r="S189" s="25">
        <f>R189*3</f>
        <v>6485.25</v>
      </c>
    </row>
    <row r="190" spans="1:20" s="27" customFormat="1" ht="24" customHeight="1" thickBot="1" x14ac:dyDescent="0.3">
      <c r="A190" s="112"/>
      <c r="B190" s="113" t="s">
        <v>59</v>
      </c>
      <c r="C190" s="114">
        <f>C187+C188+C189</f>
        <v>1</v>
      </c>
      <c r="D190" s="114"/>
      <c r="E190" s="115">
        <f>E187+E188+E189</f>
        <v>5048.75</v>
      </c>
      <c r="F190" s="114"/>
      <c r="G190" s="115">
        <f t="shared" si="78"/>
        <v>5048.75</v>
      </c>
      <c r="H190" s="115"/>
      <c r="I190" s="115">
        <f>SUM(I188)</f>
        <v>102.375</v>
      </c>
      <c r="J190" s="115"/>
      <c r="K190" s="115">
        <f>SUM(K187:K188)</f>
        <v>947.25</v>
      </c>
      <c r="L190" s="115">
        <f>SUM(L187:L188)</f>
        <v>2645.25</v>
      </c>
      <c r="M190" s="115"/>
      <c r="N190" s="115"/>
      <c r="O190" s="115"/>
      <c r="P190" s="115">
        <f>P188+P189</f>
        <v>2432.25</v>
      </c>
      <c r="Q190" s="115"/>
      <c r="R190" s="115">
        <f>SUM(R187:R189)</f>
        <v>11175.875</v>
      </c>
      <c r="S190" s="116">
        <f>SUM(S187:S189)</f>
        <v>78598.25</v>
      </c>
    </row>
    <row r="191" spans="1:20" s="13" customFormat="1" ht="20.399999999999999" customHeight="1" x14ac:dyDescent="0.2">
      <c r="A191" s="18"/>
      <c r="B191" s="55" t="s">
        <v>268</v>
      </c>
      <c r="C191" s="85"/>
      <c r="D191" s="85"/>
      <c r="E191" s="94"/>
      <c r="F191" s="85"/>
      <c r="G191" s="94"/>
      <c r="H191" s="94"/>
      <c r="I191" s="94"/>
      <c r="J191" s="94"/>
      <c r="K191" s="94"/>
      <c r="L191" s="94"/>
      <c r="M191" s="94"/>
      <c r="N191" s="94"/>
      <c r="O191" s="94"/>
      <c r="P191" s="94"/>
      <c r="Q191" s="94"/>
      <c r="R191" s="94"/>
      <c r="S191" s="110"/>
    </row>
    <row r="192" spans="1:20" x14ac:dyDescent="0.25">
      <c r="A192" s="20" t="s">
        <v>269</v>
      </c>
      <c r="B192" s="21" t="s">
        <v>220</v>
      </c>
      <c r="C192" s="22">
        <v>0.5</v>
      </c>
      <c r="D192" s="22">
        <v>9</v>
      </c>
      <c r="E192" s="23">
        <f>6003*C192</f>
        <v>3001.5</v>
      </c>
      <c r="F192" s="22"/>
      <c r="G192" s="23">
        <f t="shared" ref="G192:G195" si="79">E192+F192</f>
        <v>3001.5</v>
      </c>
      <c r="H192" s="23"/>
      <c r="I192" s="23"/>
      <c r="J192" s="23"/>
      <c r="K192" s="23">
        <f>G192*0.3</f>
        <v>900.44999999999993</v>
      </c>
      <c r="L192" s="23">
        <f>6750-G192-K192</f>
        <v>2848.05</v>
      </c>
      <c r="M192" s="23"/>
      <c r="N192" s="23"/>
      <c r="O192" s="23"/>
      <c r="P192" s="23"/>
      <c r="Q192" s="23"/>
      <c r="R192" s="23">
        <f>G192+K192+L192</f>
        <v>6750</v>
      </c>
      <c r="S192" s="25">
        <f>R192*8</f>
        <v>54000</v>
      </c>
    </row>
    <row r="193" spans="1:20" x14ac:dyDescent="0.25">
      <c r="A193" s="20" t="s">
        <v>270</v>
      </c>
      <c r="B193" s="21" t="s">
        <v>134</v>
      </c>
      <c r="C193" s="22">
        <v>0.25</v>
      </c>
      <c r="D193" s="22">
        <v>3</v>
      </c>
      <c r="E193" s="23">
        <f>4095*C193</f>
        <v>1023.75</v>
      </c>
      <c r="F193" s="22"/>
      <c r="G193" s="23">
        <f t="shared" si="79"/>
        <v>1023.75</v>
      </c>
      <c r="H193" s="23"/>
      <c r="I193" s="23">
        <f>G193*0.1</f>
        <v>102.375</v>
      </c>
      <c r="J193" s="23"/>
      <c r="K193" s="23"/>
      <c r="L193" s="23"/>
      <c r="M193" s="23"/>
      <c r="N193" s="23"/>
      <c r="O193" s="23"/>
      <c r="P193" s="23">
        <f>8647*0.25-G193</f>
        <v>1138</v>
      </c>
      <c r="Q193" s="23"/>
      <c r="R193" s="23">
        <f>E193+I193+P193</f>
        <v>2264.125</v>
      </c>
      <c r="S193" s="25">
        <f>R193*8</f>
        <v>18113</v>
      </c>
    </row>
    <row r="194" spans="1:20" s="38" customFormat="1" x14ac:dyDescent="0.25">
      <c r="A194" s="20" t="s">
        <v>271</v>
      </c>
      <c r="B194" s="21" t="s">
        <v>227</v>
      </c>
      <c r="C194" s="22">
        <v>0.5</v>
      </c>
      <c r="D194" s="22">
        <v>1</v>
      </c>
      <c r="E194" s="23">
        <f>3470*C194</f>
        <v>1735</v>
      </c>
      <c r="F194" s="22"/>
      <c r="G194" s="23">
        <f t="shared" si="79"/>
        <v>1735</v>
      </c>
      <c r="H194" s="23"/>
      <c r="I194" s="23"/>
      <c r="J194" s="23"/>
      <c r="K194" s="23"/>
      <c r="L194" s="23"/>
      <c r="M194" s="23"/>
      <c r="N194" s="23"/>
      <c r="O194" s="23"/>
      <c r="P194" s="23">
        <f>8647/2-G194</f>
        <v>2588.5</v>
      </c>
      <c r="Q194" s="23"/>
      <c r="R194" s="23">
        <f>E194+P194</f>
        <v>4323.5</v>
      </c>
      <c r="S194" s="25">
        <f>R194*3</f>
        <v>12970.5</v>
      </c>
    </row>
    <row r="195" spans="1:20" s="27" customFormat="1" ht="27.6" customHeight="1" thickBot="1" x14ac:dyDescent="0.3">
      <c r="A195" s="64"/>
      <c r="B195" s="47" t="s">
        <v>59</v>
      </c>
      <c r="C195" s="34">
        <f>C192+C193+C194</f>
        <v>1.25</v>
      </c>
      <c r="D195" s="34"/>
      <c r="E195" s="35">
        <f>E192+E193+E194</f>
        <v>5760.25</v>
      </c>
      <c r="F195" s="34"/>
      <c r="G195" s="35">
        <f t="shared" si="79"/>
        <v>5760.25</v>
      </c>
      <c r="H195" s="35"/>
      <c r="I195" s="35">
        <f>SUM(I192:I193)</f>
        <v>102.375</v>
      </c>
      <c r="J195" s="35"/>
      <c r="K195" s="35">
        <f>SUM(K192:K194)</f>
        <v>900.44999999999993</v>
      </c>
      <c r="L195" s="35">
        <f>SUM(L191:L193)</f>
        <v>2848.05</v>
      </c>
      <c r="M195" s="35"/>
      <c r="N195" s="35"/>
      <c r="O195" s="35"/>
      <c r="P195" s="35">
        <f>P193+P194</f>
        <v>3726.5</v>
      </c>
      <c r="Q195" s="35"/>
      <c r="R195" s="35">
        <f>SUM(R192:R194)</f>
        <v>13337.625</v>
      </c>
      <c r="S195" s="36">
        <f>SUM(S192:S194)</f>
        <v>85083.5</v>
      </c>
    </row>
    <row r="196" spans="1:20" ht="22.8" customHeight="1" x14ac:dyDescent="0.25">
      <c r="A196" s="57"/>
      <c r="B196" s="111" t="s">
        <v>272</v>
      </c>
      <c r="C196" s="91"/>
      <c r="D196" s="91"/>
      <c r="E196" s="51"/>
      <c r="F196" s="9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141"/>
      <c r="T196" s="142"/>
    </row>
    <row r="197" spans="1:20" x14ac:dyDescent="0.25">
      <c r="A197" s="20" t="s">
        <v>273</v>
      </c>
      <c r="B197" s="21" t="s">
        <v>130</v>
      </c>
      <c r="C197" s="22">
        <v>1</v>
      </c>
      <c r="D197" s="22">
        <v>10</v>
      </c>
      <c r="E197" s="23">
        <f>6315*C197</f>
        <v>6315</v>
      </c>
      <c r="F197" s="22"/>
      <c r="G197" s="23">
        <f t="shared" ref="G197:G200" si="80">E197+F197</f>
        <v>6315</v>
      </c>
      <c r="H197" s="23"/>
      <c r="I197" s="23"/>
      <c r="J197" s="23"/>
      <c r="K197" s="23">
        <f>G197*0.3</f>
        <v>1894.5</v>
      </c>
      <c r="L197" s="23">
        <f>13500-G197-K197</f>
        <v>5290.5</v>
      </c>
      <c r="M197" s="23"/>
      <c r="N197" s="23"/>
      <c r="O197" s="23"/>
      <c r="P197" s="23"/>
      <c r="Q197" s="23"/>
      <c r="R197" s="23">
        <f>G197+K197+L197</f>
        <v>13500</v>
      </c>
      <c r="S197" s="25">
        <f>R197*8</f>
        <v>108000</v>
      </c>
    </row>
    <row r="198" spans="1:20" x14ac:dyDescent="0.25">
      <c r="A198" s="20" t="s">
        <v>274</v>
      </c>
      <c r="B198" s="21" t="s">
        <v>134</v>
      </c>
      <c r="C198" s="22">
        <v>0.25</v>
      </c>
      <c r="D198" s="22">
        <v>3</v>
      </c>
      <c r="E198" s="23">
        <f>4095*C198</f>
        <v>1023.75</v>
      </c>
      <c r="F198" s="22"/>
      <c r="G198" s="23">
        <f t="shared" si="80"/>
        <v>1023.75</v>
      </c>
      <c r="H198" s="23"/>
      <c r="I198" s="23">
        <f>G198*0.1</f>
        <v>102.375</v>
      </c>
      <c r="J198" s="23"/>
      <c r="K198" s="23"/>
      <c r="L198" s="23"/>
      <c r="M198" s="23"/>
      <c r="N198" s="23"/>
      <c r="O198" s="23"/>
      <c r="P198" s="23">
        <f>8647*0.25-G198</f>
        <v>1138</v>
      </c>
      <c r="Q198" s="23"/>
      <c r="R198" s="23">
        <f>E198+I198+P198</f>
        <v>2264.125</v>
      </c>
      <c r="S198" s="25">
        <f>R198*8</f>
        <v>18113</v>
      </c>
    </row>
    <row r="199" spans="1:20" s="38" customFormat="1" x14ac:dyDescent="0.25">
      <c r="A199" s="20" t="s">
        <v>275</v>
      </c>
      <c r="B199" s="21" t="s">
        <v>267</v>
      </c>
      <c r="C199" s="22">
        <v>0.25</v>
      </c>
      <c r="D199" s="22">
        <v>1</v>
      </c>
      <c r="E199" s="23">
        <f>3470*C199</f>
        <v>867.5</v>
      </c>
      <c r="F199" s="22"/>
      <c r="G199" s="23">
        <f t="shared" si="80"/>
        <v>867.5</v>
      </c>
      <c r="H199" s="23"/>
      <c r="I199" s="23"/>
      <c r="J199" s="23"/>
      <c r="K199" s="23"/>
      <c r="L199" s="23"/>
      <c r="M199" s="23"/>
      <c r="N199" s="23"/>
      <c r="O199" s="23"/>
      <c r="P199" s="23">
        <f>8647*0.25-G199</f>
        <v>1294.25</v>
      </c>
      <c r="Q199" s="23"/>
      <c r="R199" s="23">
        <f>E199+P199</f>
        <v>2161.75</v>
      </c>
      <c r="S199" s="25">
        <f>R199*3</f>
        <v>6485.25</v>
      </c>
    </row>
    <row r="200" spans="1:20" s="27" customFormat="1" ht="26.4" customHeight="1" thickBot="1" x14ac:dyDescent="0.3">
      <c r="A200" s="64"/>
      <c r="B200" s="47" t="s">
        <v>59</v>
      </c>
      <c r="C200" s="34">
        <f>SUM(C197:C199)</f>
        <v>1.5</v>
      </c>
      <c r="D200" s="34"/>
      <c r="E200" s="35">
        <f>SUM(E197:E199)</f>
        <v>8206.25</v>
      </c>
      <c r="F200" s="34">
        <f>SUM(F197:F199)</f>
        <v>0</v>
      </c>
      <c r="G200" s="35">
        <f t="shared" si="80"/>
        <v>8206.25</v>
      </c>
      <c r="H200" s="35"/>
      <c r="I200" s="35">
        <f>SUM(I198:I199)</f>
        <v>102.375</v>
      </c>
      <c r="J200" s="35"/>
      <c r="K200" s="35">
        <f>SUM(K197:K199)</f>
        <v>1894.5</v>
      </c>
      <c r="L200" s="35">
        <f>SUM(L197:L199)</f>
        <v>5290.5</v>
      </c>
      <c r="M200" s="35"/>
      <c r="N200" s="35"/>
      <c r="O200" s="35"/>
      <c r="P200" s="35">
        <f>P198+P199</f>
        <v>2432.25</v>
      </c>
      <c r="Q200" s="35"/>
      <c r="R200" s="35">
        <f>SUM(R197:R199)</f>
        <v>17925.875</v>
      </c>
      <c r="S200" s="36">
        <f>SUM(S197:S199)</f>
        <v>132598.25</v>
      </c>
    </row>
    <row r="201" spans="1:20" ht="22.2" customHeight="1" x14ac:dyDescent="0.25">
      <c r="A201" s="15"/>
      <c r="B201" s="55" t="s">
        <v>276</v>
      </c>
      <c r="C201" s="85"/>
      <c r="D201" s="85"/>
      <c r="E201" s="94"/>
      <c r="F201" s="85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110"/>
    </row>
    <row r="202" spans="1:20" x14ac:dyDescent="0.25">
      <c r="A202" s="20" t="s">
        <v>277</v>
      </c>
      <c r="B202" s="21" t="s">
        <v>220</v>
      </c>
      <c r="C202" s="22">
        <v>1</v>
      </c>
      <c r="D202" s="22">
        <v>10</v>
      </c>
      <c r="E202" s="23">
        <f>6315*C202</f>
        <v>6315</v>
      </c>
      <c r="F202" s="22"/>
      <c r="G202" s="23">
        <f t="shared" ref="G202:G205" si="81">E202+F202</f>
        <v>6315</v>
      </c>
      <c r="H202" s="23"/>
      <c r="I202" s="23"/>
      <c r="J202" s="23"/>
      <c r="K202" s="23">
        <f>G202*0.3</f>
        <v>1894.5</v>
      </c>
      <c r="L202" s="23">
        <f>13500-G202-K202</f>
        <v>5290.5</v>
      </c>
      <c r="M202" s="23"/>
      <c r="N202" s="23"/>
      <c r="O202" s="23"/>
      <c r="P202" s="23"/>
      <c r="Q202" s="23"/>
      <c r="R202" s="23">
        <f>G202+K202+L202</f>
        <v>13500</v>
      </c>
      <c r="S202" s="25">
        <f>R202*8</f>
        <v>108000</v>
      </c>
    </row>
    <row r="203" spans="1:20" x14ac:dyDescent="0.25">
      <c r="A203" s="20" t="s">
        <v>278</v>
      </c>
      <c r="B203" s="21" t="s">
        <v>134</v>
      </c>
      <c r="C203" s="22">
        <v>0.25</v>
      </c>
      <c r="D203" s="22">
        <v>3</v>
      </c>
      <c r="E203" s="23">
        <f>4095*C203</f>
        <v>1023.75</v>
      </c>
      <c r="F203" s="22"/>
      <c r="G203" s="23">
        <f t="shared" si="81"/>
        <v>1023.75</v>
      </c>
      <c r="H203" s="23"/>
      <c r="I203" s="23">
        <f>G203*0.1</f>
        <v>102.375</v>
      </c>
      <c r="J203" s="23"/>
      <c r="K203" s="23"/>
      <c r="L203" s="23"/>
      <c r="M203" s="23"/>
      <c r="N203" s="23"/>
      <c r="O203" s="23"/>
      <c r="P203" s="23">
        <f>8647*0.25-G203</f>
        <v>1138</v>
      </c>
      <c r="Q203" s="23"/>
      <c r="R203" s="23">
        <f>E203+I203+P203</f>
        <v>2264.125</v>
      </c>
      <c r="S203" s="25">
        <f>R203*8</f>
        <v>18113</v>
      </c>
    </row>
    <row r="204" spans="1:20" s="38" customFormat="1" x14ac:dyDescent="0.25">
      <c r="A204" s="20" t="s">
        <v>279</v>
      </c>
      <c r="B204" s="21" t="s">
        <v>267</v>
      </c>
      <c r="C204" s="22">
        <v>0.25</v>
      </c>
      <c r="D204" s="22">
        <v>1</v>
      </c>
      <c r="E204" s="23">
        <f>3470*C204</f>
        <v>867.5</v>
      </c>
      <c r="F204" s="22"/>
      <c r="G204" s="23">
        <f t="shared" si="81"/>
        <v>867.5</v>
      </c>
      <c r="H204" s="23"/>
      <c r="I204" s="23"/>
      <c r="J204" s="23"/>
      <c r="K204" s="23"/>
      <c r="L204" s="23"/>
      <c r="M204" s="23"/>
      <c r="N204" s="23"/>
      <c r="O204" s="23"/>
      <c r="P204" s="23">
        <f>8647*0.25-G204</f>
        <v>1294.25</v>
      </c>
      <c r="Q204" s="23"/>
      <c r="R204" s="23">
        <f>E204+P204</f>
        <v>2161.75</v>
      </c>
      <c r="S204" s="25">
        <f>R204*3</f>
        <v>6485.25</v>
      </c>
    </row>
    <row r="205" spans="1:20" s="27" customFormat="1" ht="28.2" customHeight="1" thickBot="1" x14ac:dyDescent="0.3">
      <c r="A205" s="64"/>
      <c r="B205" s="47" t="s">
        <v>59</v>
      </c>
      <c r="C205" s="34">
        <f>SUM(C202:C204)</f>
        <v>1.5</v>
      </c>
      <c r="D205" s="34"/>
      <c r="E205" s="35">
        <f>SUM(E202:E204)</f>
        <v>8206.25</v>
      </c>
      <c r="F205" s="34">
        <f>SUM(F202:F204)</f>
        <v>0</v>
      </c>
      <c r="G205" s="35">
        <f t="shared" si="81"/>
        <v>8206.25</v>
      </c>
      <c r="H205" s="35"/>
      <c r="I205" s="35">
        <f>SUM(I203:I204)</f>
        <v>102.375</v>
      </c>
      <c r="J205" s="35"/>
      <c r="K205" s="35">
        <f>K202</f>
        <v>1894.5</v>
      </c>
      <c r="L205" s="35">
        <f>SUM(L202:L204)</f>
        <v>5290.5</v>
      </c>
      <c r="M205" s="35"/>
      <c r="N205" s="35"/>
      <c r="O205" s="35"/>
      <c r="P205" s="35">
        <f>P203+P204</f>
        <v>2432.25</v>
      </c>
      <c r="Q205" s="35"/>
      <c r="R205" s="35">
        <f>SUM(R202:R204)</f>
        <v>17925.875</v>
      </c>
      <c r="S205" s="36">
        <f>SUM(S202:S204)</f>
        <v>132598.25</v>
      </c>
    </row>
    <row r="206" spans="1:20" ht="24" customHeight="1" x14ac:dyDescent="0.25">
      <c r="A206" s="15"/>
      <c r="B206" s="55" t="s">
        <v>280</v>
      </c>
      <c r="C206" s="85"/>
      <c r="D206" s="85"/>
      <c r="E206" s="94"/>
      <c r="F206" s="85"/>
      <c r="G206" s="94"/>
      <c r="H206" s="94"/>
      <c r="I206" s="94"/>
      <c r="J206" s="94"/>
      <c r="K206" s="94"/>
      <c r="L206" s="94"/>
      <c r="M206" s="94"/>
      <c r="N206" s="94"/>
      <c r="O206" s="94"/>
      <c r="P206" s="94"/>
      <c r="Q206" s="94"/>
      <c r="R206" s="94"/>
      <c r="S206" s="110"/>
    </row>
    <row r="207" spans="1:20" x14ac:dyDescent="0.25">
      <c r="A207" s="20" t="s">
        <v>281</v>
      </c>
      <c r="B207" s="21" t="s">
        <v>130</v>
      </c>
      <c r="C207" s="22">
        <v>0.5</v>
      </c>
      <c r="D207" s="22">
        <v>8</v>
      </c>
      <c r="E207" s="23">
        <f>5691*C207</f>
        <v>2845.5</v>
      </c>
      <c r="F207" s="22"/>
      <c r="G207" s="23">
        <f t="shared" ref="G207:G209" si="82">E207+F207</f>
        <v>2845.5</v>
      </c>
      <c r="H207" s="23"/>
      <c r="I207" s="23"/>
      <c r="J207" s="23"/>
      <c r="K207" s="23">
        <f>G207*0.3</f>
        <v>853.65</v>
      </c>
      <c r="L207" s="23">
        <f>R207-K207-G207</f>
        <v>3050.8500000000004</v>
      </c>
      <c r="M207" s="23"/>
      <c r="N207" s="23"/>
      <c r="O207" s="23"/>
      <c r="P207" s="23"/>
      <c r="Q207" s="23"/>
      <c r="R207" s="23">
        <v>6750</v>
      </c>
      <c r="S207" s="25">
        <f>R207*8</f>
        <v>54000</v>
      </c>
    </row>
    <row r="208" spans="1:20" s="38" customFormat="1" x14ac:dyDescent="0.25">
      <c r="A208" s="20" t="s">
        <v>282</v>
      </c>
      <c r="B208" s="21" t="s">
        <v>134</v>
      </c>
      <c r="C208" s="22">
        <v>0.5</v>
      </c>
      <c r="D208" s="22">
        <v>3</v>
      </c>
      <c r="E208" s="23">
        <f>4095*C208</f>
        <v>2047.5</v>
      </c>
      <c r="F208" s="22"/>
      <c r="G208" s="23">
        <f t="shared" si="82"/>
        <v>2047.5</v>
      </c>
      <c r="H208" s="23"/>
      <c r="I208" s="23">
        <f>G208*0.1</f>
        <v>204.75</v>
      </c>
      <c r="J208" s="23"/>
      <c r="K208" s="23"/>
      <c r="L208" s="23"/>
      <c r="M208" s="23"/>
      <c r="N208" s="23"/>
      <c r="O208" s="23"/>
      <c r="P208" s="23">
        <f>8647/2-G208</f>
        <v>2276</v>
      </c>
      <c r="Q208" s="23"/>
      <c r="R208" s="23">
        <f>SUM(G208:Q208)</f>
        <v>4528.25</v>
      </c>
      <c r="S208" s="25">
        <f>R208*8</f>
        <v>36226</v>
      </c>
    </row>
    <row r="209" spans="1:20" s="27" customFormat="1" ht="25.8" customHeight="1" thickBot="1" x14ac:dyDescent="0.3">
      <c r="A209" s="64"/>
      <c r="B209" s="47" t="s">
        <v>59</v>
      </c>
      <c r="C209" s="34">
        <f>SUM(C207:C208)</f>
        <v>1</v>
      </c>
      <c r="D209" s="34"/>
      <c r="E209" s="35">
        <f>SUM(E207:E208)</f>
        <v>4893</v>
      </c>
      <c r="F209" s="34">
        <f>SUM(F207:F208)</f>
        <v>0</v>
      </c>
      <c r="G209" s="35">
        <f t="shared" si="82"/>
        <v>4893</v>
      </c>
      <c r="H209" s="35"/>
      <c r="I209" s="35">
        <f>SUM(I208)</f>
        <v>204.75</v>
      </c>
      <c r="J209" s="35"/>
      <c r="K209" s="35">
        <f>SUM(K207:K208)</f>
        <v>853.65</v>
      </c>
      <c r="L209" s="35">
        <f>SUM(L207:L208)</f>
        <v>3050.8500000000004</v>
      </c>
      <c r="M209" s="35"/>
      <c r="N209" s="35"/>
      <c r="O209" s="35"/>
      <c r="P209" s="35">
        <f>SUM(P208)</f>
        <v>2276</v>
      </c>
      <c r="Q209" s="35"/>
      <c r="R209" s="35">
        <f>SUM(R207:R208)</f>
        <v>11278.25</v>
      </c>
      <c r="S209" s="36">
        <f>SUM(S207:S208)</f>
        <v>90226</v>
      </c>
    </row>
    <row r="210" spans="1:20" ht="22.2" customHeight="1" x14ac:dyDescent="0.25">
      <c r="A210" s="15"/>
      <c r="B210" s="55" t="s">
        <v>283</v>
      </c>
      <c r="C210" s="85"/>
      <c r="D210" s="85"/>
      <c r="E210" s="94"/>
      <c r="F210" s="85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  <c r="R210" s="94"/>
      <c r="S210" s="110"/>
    </row>
    <row r="211" spans="1:20" s="13" customFormat="1" x14ac:dyDescent="0.25">
      <c r="A211" s="20" t="s">
        <v>284</v>
      </c>
      <c r="B211" s="66" t="s">
        <v>130</v>
      </c>
      <c r="C211" s="22">
        <v>0.5</v>
      </c>
      <c r="D211" s="22">
        <v>10</v>
      </c>
      <c r="E211" s="23">
        <f>6315*C211</f>
        <v>3157.5</v>
      </c>
      <c r="F211" s="22"/>
      <c r="G211" s="23">
        <f t="shared" ref="G211:G214" si="83">E211+F211</f>
        <v>3157.5</v>
      </c>
      <c r="H211" s="23"/>
      <c r="I211" s="23"/>
      <c r="J211" s="23"/>
      <c r="K211" s="23">
        <f>G211*0.3</f>
        <v>947.25</v>
      </c>
      <c r="L211" s="23">
        <f>13500/2-G211-K211</f>
        <v>2645.25</v>
      </c>
      <c r="M211" s="23"/>
      <c r="N211" s="23"/>
      <c r="O211" s="23"/>
      <c r="P211" s="23"/>
      <c r="Q211" s="23"/>
      <c r="R211" s="23">
        <f>G211+K211+L211</f>
        <v>6750</v>
      </c>
      <c r="S211" s="25">
        <f>R211*8</f>
        <v>54000</v>
      </c>
    </row>
    <row r="212" spans="1:20" x14ac:dyDescent="0.25">
      <c r="A212" s="20" t="s">
        <v>285</v>
      </c>
      <c r="B212" s="21" t="s">
        <v>134</v>
      </c>
      <c r="C212" s="22">
        <v>0.5</v>
      </c>
      <c r="D212" s="22">
        <v>3</v>
      </c>
      <c r="E212" s="23">
        <f>4095*C212</f>
        <v>2047.5</v>
      </c>
      <c r="F212" s="22"/>
      <c r="G212" s="23">
        <f t="shared" si="83"/>
        <v>2047.5</v>
      </c>
      <c r="H212" s="23"/>
      <c r="I212" s="23">
        <f>G212*0.1</f>
        <v>204.75</v>
      </c>
      <c r="J212" s="23"/>
      <c r="K212" s="23"/>
      <c r="L212" s="23"/>
      <c r="M212" s="23"/>
      <c r="N212" s="23"/>
      <c r="O212" s="23"/>
      <c r="P212" s="23">
        <f>8647/2-G212</f>
        <v>2276</v>
      </c>
      <c r="Q212" s="23"/>
      <c r="R212" s="23">
        <f>SUM(G212:Q212)</f>
        <v>4528.25</v>
      </c>
      <c r="S212" s="25">
        <f>R212*8</f>
        <v>36226</v>
      </c>
    </row>
    <row r="213" spans="1:20" x14ac:dyDescent="0.25">
      <c r="A213" s="20" t="s">
        <v>286</v>
      </c>
      <c r="B213" s="21" t="s">
        <v>227</v>
      </c>
      <c r="C213" s="22">
        <v>1</v>
      </c>
      <c r="D213" s="22">
        <v>1</v>
      </c>
      <c r="E213" s="23">
        <f>3470*C213</f>
        <v>3470</v>
      </c>
      <c r="F213" s="22"/>
      <c r="G213" s="23">
        <f t="shared" si="83"/>
        <v>3470</v>
      </c>
      <c r="H213" s="23"/>
      <c r="I213" s="23"/>
      <c r="J213" s="23"/>
      <c r="K213" s="23"/>
      <c r="L213" s="23"/>
      <c r="M213" s="23"/>
      <c r="N213" s="23"/>
      <c r="O213" s="23"/>
      <c r="P213" s="23">
        <f>8647-G213</f>
        <v>5177</v>
      </c>
      <c r="Q213" s="23"/>
      <c r="R213" s="23">
        <f>E213+P213</f>
        <v>8647</v>
      </c>
      <c r="S213" s="25">
        <f>R213*3</f>
        <v>25941</v>
      </c>
    </row>
    <row r="214" spans="1:20" s="49" customFormat="1" ht="26.4" customHeight="1" thickBot="1" x14ac:dyDescent="0.3">
      <c r="A214" s="118"/>
      <c r="B214" s="47" t="s">
        <v>59</v>
      </c>
      <c r="C214" s="34">
        <f>SUM(C211:C213)</f>
        <v>2</v>
      </c>
      <c r="D214" s="34"/>
      <c r="E214" s="35">
        <f>SUM(E211:E213)</f>
        <v>8675</v>
      </c>
      <c r="F214" s="34">
        <f>SUM(F211:F213)</f>
        <v>0</v>
      </c>
      <c r="G214" s="35">
        <f t="shared" si="83"/>
        <v>8675</v>
      </c>
      <c r="H214" s="35"/>
      <c r="I214" s="35">
        <f>SUM(I212:I213)</f>
        <v>204.75</v>
      </c>
      <c r="J214" s="35"/>
      <c r="K214" s="35">
        <f>SUM(K211:K213)</f>
        <v>947.25</v>
      </c>
      <c r="L214" s="35">
        <f>SUM(L211:L213)</f>
        <v>2645.25</v>
      </c>
      <c r="M214" s="35"/>
      <c r="N214" s="35"/>
      <c r="O214" s="35"/>
      <c r="P214" s="35">
        <f>P212+P213</f>
        <v>7453</v>
      </c>
      <c r="Q214" s="35"/>
      <c r="R214" s="35">
        <f>SUM(R211:R213)</f>
        <v>19925.25</v>
      </c>
      <c r="S214" s="36">
        <f>SUM(S211:S213)</f>
        <v>116167</v>
      </c>
    </row>
    <row r="215" spans="1:20" ht="21" customHeight="1" x14ac:dyDescent="0.25">
      <c r="A215" s="15"/>
      <c r="B215" s="55" t="s">
        <v>287</v>
      </c>
      <c r="C215" s="85"/>
      <c r="D215" s="85"/>
      <c r="E215" s="94"/>
      <c r="F215" s="85"/>
      <c r="G215" s="94"/>
      <c r="H215" s="94"/>
      <c r="I215" s="94"/>
      <c r="J215" s="94"/>
      <c r="K215" s="94"/>
      <c r="L215" s="94"/>
      <c r="M215" s="94"/>
      <c r="N215" s="94"/>
      <c r="O215" s="94"/>
      <c r="P215" s="94"/>
      <c r="Q215" s="94"/>
      <c r="R215" s="94"/>
      <c r="S215" s="110"/>
    </row>
    <row r="216" spans="1:20" ht="25.2" customHeight="1" x14ac:dyDescent="0.25">
      <c r="A216" s="20" t="s">
        <v>288</v>
      </c>
      <c r="B216" s="21" t="s">
        <v>220</v>
      </c>
      <c r="C216" s="22">
        <v>1</v>
      </c>
      <c r="D216" s="22">
        <v>10</v>
      </c>
      <c r="E216" s="23">
        <f>6315*C216</f>
        <v>6315</v>
      </c>
      <c r="F216" s="22"/>
      <c r="G216" s="23">
        <f t="shared" ref="G216:G220" si="84">E216+F216</f>
        <v>6315</v>
      </c>
      <c r="H216" s="23"/>
      <c r="I216" s="23"/>
      <c r="J216" s="23"/>
      <c r="K216" s="23">
        <f>G216*0.3</f>
        <v>1894.5</v>
      </c>
      <c r="L216" s="23">
        <f>R216-K216-G216</f>
        <v>5290.5</v>
      </c>
      <c r="M216" s="23"/>
      <c r="N216" s="23"/>
      <c r="O216" s="23"/>
      <c r="P216" s="23"/>
      <c r="Q216" s="23"/>
      <c r="R216" s="23">
        <v>13500</v>
      </c>
      <c r="S216" s="25">
        <f>R216*8</f>
        <v>108000</v>
      </c>
    </row>
    <row r="217" spans="1:20" ht="24" customHeight="1" x14ac:dyDescent="0.25">
      <c r="A217" s="20" t="s">
        <v>289</v>
      </c>
      <c r="B217" s="21" t="s">
        <v>130</v>
      </c>
      <c r="C217" s="22">
        <v>1</v>
      </c>
      <c r="D217" s="22">
        <v>7</v>
      </c>
      <c r="E217" s="23">
        <f>5344*C217</f>
        <v>5344</v>
      </c>
      <c r="F217" s="22"/>
      <c r="G217" s="23">
        <f t="shared" si="84"/>
        <v>5344</v>
      </c>
      <c r="H217" s="23"/>
      <c r="I217" s="23">
        <f>G217*0.1</f>
        <v>534.4</v>
      </c>
      <c r="J217" s="23"/>
      <c r="K217" s="23">
        <f>G217*0.3</f>
        <v>1603.2</v>
      </c>
      <c r="L217" s="23">
        <f>13500-G217-I217-K217</f>
        <v>6018.4000000000005</v>
      </c>
      <c r="M217" s="23"/>
      <c r="N217" s="23"/>
      <c r="O217" s="23"/>
      <c r="P217" s="23"/>
      <c r="Q217" s="23"/>
      <c r="R217" s="23">
        <f>G217+I217+K217+L217</f>
        <v>13500</v>
      </c>
      <c r="S217" s="25">
        <f t="shared" ref="S217:S218" si="85">R217*8</f>
        <v>108000</v>
      </c>
    </row>
    <row r="218" spans="1:20" ht="25.2" customHeight="1" x14ac:dyDescent="0.25">
      <c r="A218" s="20" t="s">
        <v>290</v>
      </c>
      <c r="B218" s="21" t="s">
        <v>134</v>
      </c>
      <c r="C218" s="22">
        <v>1</v>
      </c>
      <c r="D218" s="22">
        <v>3</v>
      </c>
      <c r="E218" s="23">
        <f>4095*C218</f>
        <v>4095</v>
      </c>
      <c r="F218" s="22"/>
      <c r="G218" s="23">
        <f t="shared" si="84"/>
        <v>4095</v>
      </c>
      <c r="H218" s="23"/>
      <c r="I218" s="23">
        <f>G218*0.1</f>
        <v>409.5</v>
      </c>
      <c r="J218" s="23"/>
      <c r="K218" s="23"/>
      <c r="L218" s="23"/>
      <c r="M218" s="23"/>
      <c r="N218" s="23"/>
      <c r="O218" s="23"/>
      <c r="P218" s="23">
        <f>8647-G218</f>
        <v>4552</v>
      </c>
      <c r="Q218" s="23"/>
      <c r="R218" s="23">
        <f>SUM(G218:Q218)</f>
        <v>9056.5</v>
      </c>
      <c r="S218" s="25">
        <f t="shared" si="85"/>
        <v>72452</v>
      </c>
    </row>
    <row r="219" spans="1:20" ht="31.8" customHeight="1" x14ac:dyDescent="0.25">
      <c r="A219" s="20" t="s">
        <v>291</v>
      </c>
      <c r="B219" s="21" t="s">
        <v>227</v>
      </c>
      <c r="C219" s="22">
        <v>1.5</v>
      </c>
      <c r="D219" s="22">
        <v>1</v>
      </c>
      <c r="E219" s="23">
        <f>3470*C219</f>
        <v>5205</v>
      </c>
      <c r="F219" s="22"/>
      <c r="G219" s="23">
        <f t="shared" si="84"/>
        <v>5205</v>
      </c>
      <c r="H219" s="23"/>
      <c r="I219" s="23"/>
      <c r="J219" s="23"/>
      <c r="K219" s="23"/>
      <c r="L219" s="23"/>
      <c r="M219" s="23"/>
      <c r="N219" s="23"/>
      <c r="O219" s="23"/>
      <c r="P219" s="23">
        <f>8647*C219-G219</f>
        <v>7765.5</v>
      </c>
      <c r="Q219" s="23"/>
      <c r="R219" s="23">
        <f>E219+P219</f>
        <v>12970.5</v>
      </c>
      <c r="S219" s="25">
        <f>R219*3</f>
        <v>38911.5</v>
      </c>
    </row>
    <row r="220" spans="1:20" s="27" customFormat="1" ht="26.4" customHeight="1" thickBot="1" x14ac:dyDescent="0.3">
      <c r="A220" s="64"/>
      <c r="B220" s="47" t="s">
        <v>59</v>
      </c>
      <c r="C220" s="34">
        <f>SUM(C216:C219)</f>
        <v>4.5</v>
      </c>
      <c r="D220" s="34"/>
      <c r="E220" s="35">
        <f>SUM(E216:E219)</f>
        <v>20959</v>
      </c>
      <c r="F220" s="34">
        <f>SUM(F216:F219)</f>
        <v>0</v>
      </c>
      <c r="G220" s="35">
        <f t="shared" si="84"/>
        <v>20959</v>
      </c>
      <c r="H220" s="35"/>
      <c r="I220" s="35">
        <f>SUM(I217:I219)</f>
        <v>943.9</v>
      </c>
      <c r="J220" s="35"/>
      <c r="K220" s="35">
        <f>K216+K217</f>
        <v>3497.7</v>
      </c>
      <c r="L220" s="35">
        <f>L216+L217</f>
        <v>11308.900000000001</v>
      </c>
      <c r="M220" s="35"/>
      <c r="N220" s="35"/>
      <c r="O220" s="35"/>
      <c r="P220" s="35">
        <f>SUM(P216:P219)</f>
        <v>12317.5</v>
      </c>
      <c r="Q220" s="35"/>
      <c r="R220" s="35">
        <f>SUM(R216:R219)</f>
        <v>49027</v>
      </c>
      <c r="S220" s="36">
        <f>SUM(S216:S219)</f>
        <v>327363.5</v>
      </c>
    </row>
    <row r="221" spans="1:20" s="13" customFormat="1" ht="22.2" customHeight="1" x14ac:dyDescent="0.2">
      <c r="A221" s="18"/>
      <c r="B221" s="55" t="s">
        <v>292</v>
      </c>
      <c r="C221" s="85"/>
      <c r="D221" s="85"/>
      <c r="E221" s="94"/>
      <c r="F221" s="85"/>
      <c r="G221" s="94"/>
      <c r="H221" s="94"/>
      <c r="I221" s="94"/>
      <c r="J221" s="94"/>
      <c r="K221" s="94"/>
      <c r="L221" s="94"/>
      <c r="M221" s="94"/>
      <c r="N221" s="94"/>
      <c r="O221" s="94"/>
      <c r="P221" s="94"/>
      <c r="Q221" s="94"/>
      <c r="R221" s="94"/>
      <c r="S221" s="110"/>
    </row>
    <row r="222" spans="1:20" ht="24" customHeight="1" x14ac:dyDescent="0.25">
      <c r="A222" s="20" t="s">
        <v>293</v>
      </c>
      <c r="B222" s="21" t="s">
        <v>220</v>
      </c>
      <c r="C222" s="22">
        <v>1</v>
      </c>
      <c r="D222" s="22">
        <v>10</v>
      </c>
      <c r="E222" s="23">
        <f>6315*C222</f>
        <v>6315</v>
      </c>
      <c r="F222" s="22"/>
      <c r="G222" s="23">
        <f t="shared" ref="G222:G224" si="86">E222+F222</f>
        <v>6315</v>
      </c>
      <c r="H222" s="23"/>
      <c r="I222" s="23"/>
      <c r="J222" s="23"/>
      <c r="K222" s="23">
        <f>G222*0.3</f>
        <v>1894.5</v>
      </c>
      <c r="L222" s="23">
        <f>R222-K222-G222</f>
        <v>5290.5</v>
      </c>
      <c r="M222" s="23"/>
      <c r="N222" s="23"/>
      <c r="O222" s="23"/>
      <c r="P222" s="23"/>
      <c r="Q222" s="23"/>
      <c r="R222" s="23">
        <v>13500</v>
      </c>
      <c r="S222" s="25">
        <f>R222*8</f>
        <v>108000</v>
      </c>
    </row>
    <row r="223" spans="1:20" s="38" customFormat="1" ht="25.8" customHeight="1" x14ac:dyDescent="0.25">
      <c r="A223" s="20" t="s">
        <v>294</v>
      </c>
      <c r="B223" s="21" t="s">
        <v>134</v>
      </c>
      <c r="C223" s="22">
        <v>0.5</v>
      </c>
      <c r="D223" s="22">
        <v>3</v>
      </c>
      <c r="E223" s="23">
        <f>4095*C223</f>
        <v>2047.5</v>
      </c>
      <c r="F223" s="22"/>
      <c r="G223" s="23">
        <f t="shared" si="86"/>
        <v>2047.5</v>
      </c>
      <c r="H223" s="23"/>
      <c r="I223" s="23">
        <f>G223*0.1</f>
        <v>204.75</v>
      </c>
      <c r="J223" s="23"/>
      <c r="K223" s="23"/>
      <c r="L223" s="23"/>
      <c r="M223" s="23"/>
      <c r="N223" s="23"/>
      <c r="O223" s="23"/>
      <c r="P223" s="23">
        <f>8647/2-G223</f>
        <v>2276</v>
      </c>
      <c r="Q223" s="23"/>
      <c r="R223" s="23">
        <f>SUM(G223:Q223)</f>
        <v>4528.25</v>
      </c>
      <c r="S223" s="25">
        <f>R223*8</f>
        <v>36226</v>
      </c>
      <c r="T223" s="46"/>
    </row>
    <row r="224" spans="1:20" s="27" customFormat="1" ht="27.6" customHeight="1" thickBot="1" x14ac:dyDescent="0.3">
      <c r="A224" s="64"/>
      <c r="B224" s="47" t="s">
        <v>59</v>
      </c>
      <c r="C224" s="34">
        <f>SUM(C222:C223)</f>
        <v>1.5</v>
      </c>
      <c r="D224" s="34"/>
      <c r="E224" s="35">
        <f>SUM(E222:E223)</f>
        <v>8362.5</v>
      </c>
      <c r="F224" s="34">
        <f>SUM(F222:F223)</f>
        <v>0</v>
      </c>
      <c r="G224" s="35">
        <f t="shared" si="86"/>
        <v>8362.5</v>
      </c>
      <c r="H224" s="35"/>
      <c r="I224" s="35">
        <f>SUM(I223)</f>
        <v>204.75</v>
      </c>
      <c r="J224" s="35"/>
      <c r="K224" s="35">
        <f>SUM(K222:K223)</f>
        <v>1894.5</v>
      </c>
      <c r="L224" s="35">
        <f>SUM(L222:L223)</f>
        <v>5290.5</v>
      </c>
      <c r="M224" s="35"/>
      <c r="N224" s="35"/>
      <c r="O224" s="35"/>
      <c r="P224" s="35">
        <f>SUM(P223)</f>
        <v>2276</v>
      </c>
      <c r="Q224" s="35"/>
      <c r="R224" s="35">
        <f>SUM(R222:R223)</f>
        <v>18028.25</v>
      </c>
      <c r="S224" s="36">
        <f>SUM(S222:S223)</f>
        <v>144226</v>
      </c>
    </row>
    <row r="225" spans="1:19" ht="22.2" customHeight="1" x14ac:dyDescent="0.25">
      <c r="A225" s="15"/>
      <c r="B225" s="55" t="s">
        <v>295</v>
      </c>
      <c r="C225" s="85"/>
      <c r="D225" s="85"/>
      <c r="E225" s="94"/>
      <c r="F225" s="85"/>
      <c r="G225" s="94"/>
      <c r="H225" s="94"/>
      <c r="I225" s="94"/>
      <c r="J225" s="94"/>
      <c r="K225" s="94"/>
      <c r="L225" s="94"/>
      <c r="M225" s="94"/>
      <c r="N225" s="94"/>
      <c r="O225" s="94"/>
      <c r="P225" s="94"/>
      <c r="Q225" s="94"/>
      <c r="R225" s="94"/>
      <c r="S225" s="110"/>
    </row>
    <row r="226" spans="1:19" ht="31.2" customHeight="1" x14ac:dyDescent="0.25">
      <c r="A226" s="20" t="s">
        <v>296</v>
      </c>
      <c r="B226" s="21" t="s">
        <v>130</v>
      </c>
      <c r="C226" s="22">
        <v>0.5</v>
      </c>
      <c r="D226" s="22">
        <v>10</v>
      </c>
      <c r="E226" s="23">
        <f>6315*C226</f>
        <v>3157.5</v>
      </c>
      <c r="F226" s="22"/>
      <c r="G226" s="23">
        <f t="shared" ref="G226:G227" si="87">E226+F226</f>
        <v>3157.5</v>
      </c>
      <c r="H226" s="23"/>
      <c r="I226" s="23"/>
      <c r="J226" s="23"/>
      <c r="K226" s="23">
        <f>G226*0.3</f>
        <v>947.25</v>
      </c>
      <c r="L226" s="23">
        <f>13500/2-G226-K226</f>
        <v>2645.25</v>
      </c>
      <c r="M226" s="23"/>
      <c r="N226" s="23"/>
      <c r="O226" s="23"/>
      <c r="P226" s="23"/>
      <c r="Q226" s="23"/>
      <c r="R226" s="23">
        <f>G226+K226+L226</f>
        <v>6750</v>
      </c>
      <c r="S226" s="25">
        <f>R226*8</f>
        <v>54000</v>
      </c>
    </row>
    <row r="227" spans="1:19" s="27" customFormat="1" ht="25.8" customHeight="1" thickBot="1" x14ac:dyDescent="0.3">
      <c r="A227" s="64"/>
      <c r="B227" s="47" t="s">
        <v>59</v>
      </c>
      <c r="C227" s="34">
        <f>SUM(C226:C226)</f>
        <v>0.5</v>
      </c>
      <c r="D227" s="34"/>
      <c r="E227" s="35">
        <f>SUM(E226:E226)</f>
        <v>3157.5</v>
      </c>
      <c r="F227" s="34">
        <f>SUM(F226:F226)</f>
        <v>0</v>
      </c>
      <c r="G227" s="35">
        <f t="shared" si="87"/>
        <v>3157.5</v>
      </c>
      <c r="H227" s="35"/>
      <c r="I227" s="35">
        <v>0</v>
      </c>
      <c r="J227" s="35"/>
      <c r="K227" s="35">
        <f>SUM(K226:K226)</f>
        <v>947.25</v>
      </c>
      <c r="L227" s="35">
        <f>SUM(L226:L226)</f>
        <v>2645.25</v>
      </c>
      <c r="M227" s="35"/>
      <c r="N227" s="35"/>
      <c r="O227" s="35"/>
      <c r="P227" s="35">
        <v>0</v>
      </c>
      <c r="Q227" s="35"/>
      <c r="R227" s="35">
        <f>SUM(R226:R226)</f>
        <v>6750</v>
      </c>
      <c r="S227" s="36">
        <f>SUM(S226:S226)</f>
        <v>54000</v>
      </c>
    </row>
    <row r="228" spans="1:19" ht="18.600000000000001" customHeight="1" x14ac:dyDescent="0.25">
      <c r="A228" s="15"/>
      <c r="B228" s="55" t="s">
        <v>298</v>
      </c>
      <c r="C228" s="85"/>
      <c r="D228" s="85"/>
      <c r="E228" s="94"/>
      <c r="F228" s="85"/>
      <c r="G228" s="94"/>
      <c r="H228" s="94"/>
      <c r="I228" s="94"/>
      <c r="J228" s="94"/>
      <c r="K228" s="94"/>
      <c r="L228" s="94"/>
      <c r="M228" s="94"/>
      <c r="N228" s="94"/>
      <c r="O228" s="94"/>
      <c r="P228" s="94"/>
      <c r="Q228" s="94"/>
      <c r="R228" s="94"/>
      <c r="S228" s="110"/>
    </row>
    <row r="229" spans="1:19" x14ac:dyDescent="0.25">
      <c r="A229" s="20" t="s">
        <v>299</v>
      </c>
      <c r="B229" s="21" t="s">
        <v>130</v>
      </c>
      <c r="C229" s="22">
        <v>0.5</v>
      </c>
      <c r="D229" s="22">
        <v>10</v>
      </c>
      <c r="E229" s="23">
        <f>6315*C229</f>
        <v>3157.5</v>
      </c>
      <c r="F229" s="22"/>
      <c r="G229" s="23">
        <f t="shared" ref="G229:G231" si="88">E229+F229</f>
        <v>3157.5</v>
      </c>
      <c r="H229" s="23"/>
      <c r="I229" s="23"/>
      <c r="J229" s="23"/>
      <c r="K229" s="23">
        <f>G229*0.3</f>
        <v>947.25</v>
      </c>
      <c r="L229" s="23">
        <f>13500/2-G229-K229</f>
        <v>2645.25</v>
      </c>
      <c r="M229" s="23"/>
      <c r="N229" s="23"/>
      <c r="O229" s="23"/>
      <c r="P229" s="23"/>
      <c r="Q229" s="23"/>
      <c r="R229" s="23">
        <f>G229+K229+L229</f>
        <v>6750</v>
      </c>
      <c r="S229" s="25">
        <f>R229*8</f>
        <v>54000</v>
      </c>
    </row>
    <row r="230" spans="1:19" s="38" customFormat="1" x14ac:dyDescent="0.25">
      <c r="A230" s="20" t="s">
        <v>300</v>
      </c>
      <c r="B230" s="21" t="s">
        <v>134</v>
      </c>
      <c r="C230" s="22">
        <v>0.25</v>
      </c>
      <c r="D230" s="22">
        <v>3</v>
      </c>
      <c r="E230" s="23">
        <f>4095*C230</f>
        <v>1023.75</v>
      </c>
      <c r="F230" s="22"/>
      <c r="G230" s="23">
        <f t="shared" si="88"/>
        <v>1023.75</v>
      </c>
      <c r="H230" s="23"/>
      <c r="I230" s="23">
        <f>G230*0.1</f>
        <v>102.375</v>
      </c>
      <c r="J230" s="23"/>
      <c r="K230" s="23"/>
      <c r="L230" s="23"/>
      <c r="M230" s="23"/>
      <c r="N230" s="23"/>
      <c r="O230" s="23"/>
      <c r="P230" s="23">
        <f>8647*0.25-G230</f>
        <v>1138</v>
      </c>
      <c r="Q230" s="23"/>
      <c r="R230" s="23">
        <f>E230+I230+P230</f>
        <v>2264.125</v>
      </c>
      <c r="S230" s="25">
        <f>R230*8</f>
        <v>18113</v>
      </c>
    </row>
    <row r="231" spans="1:19" s="27" customFormat="1" ht="27" customHeight="1" thickBot="1" x14ac:dyDescent="0.3">
      <c r="A231" s="64"/>
      <c r="B231" s="47" t="s">
        <v>59</v>
      </c>
      <c r="C231" s="34">
        <f>SUM(C229:C230)</f>
        <v>0.75</v>
      </c>
      <c r="D231" s="34"/>
      <c r="E231" s="35">
        <f>SUM(E229:E230)</f>
        <v>4181.25</v>
      </c>
      <c r="F231" s="34">
        <f>SUM(F229:F230)</f>
        <v>0</v>
      </c>
      <c r="G231" s="35">
        <f t="shared" si="88"/>
        <v>4181.25</v>
      </c>
      <c r="H231" s="35"/>
      <c r="I231" s="35">
        <f>SUM(I230)</f>
        <v>102.375</v>
      </c>
      <c r="J231" s="35"/>
      <c r="K231" s="35">
        <f>SUM(K229:K230)</f>
        <v>947.25</v>
      </c>
      <c r="L231" s="35">
        <f>SUM(L229:L230)</f>
        <v>2645.25</v>
      </c>
      <c r="M231" s="35"/>
      <c r="N231" s="35"/>
      <c r="O231" s="35"/>
      <c r="P231" s="35">
        <f>SUM(P230)</f>
        <v>1138</v>
      </c>
      <c r="Q231" s="35"/>
      <c r="R231" s="35">
        <f>SUM(R229:R230)</f>
        <v>9014.125</v>
      </c>
      <c r="S231" s="36">
        <f>SUM(S229:S230)</f>
        <v>72113</v>
      </c>
    </row>
    <row r="232" spans="1:19" s="49" customFormat="1" ht="23.25" customHeight="1" thickBot="1" x14ac:dyDescent="0.3">
      <c r="A232" s="67"/>
      <c r="B232" s="119" t="s">
        <v>301</v>
      </c>
      <c r="C232" s="120">
        <f>C27+C38+C46+C41+C54+C60+C81+C126+C110+C116+C139+C150+C156+C163+C170+C179+C184+C224+C220+C214+C200+C205+C227+C231+C190+C209+C195+C143+C120</f>
        <v>190.5</v>
      </c>
      <c r="D232" s="121"/>
      <c r="E232" s="120">
        <f t="shared" ref="E232:S232" si="89">E27+E38+E46+E41+E54+E60+E81+E126+E110+E116+E139+E150+E156+E163+E170+E179+E184+E220+E224+E214+E200+E205+E227+E190+E209+E195+E143+E231+E120</f>
        <v>1178295.75</v>
      </c>
      <c r="F232" s="120">
        <f t="shared" si="89"/>
        <v>31740.262500000001</v>
      </c>
      <c r="G232" s="120">
        <f t="shared" si="89"/>
        <v>1210036.0125</v>
      </c>
      <c r="H232" s="120">
        <f t="shared" si="89"/>
        <v>24377.25</v>
      </c>
      <c r="I232" s="120">
        <f t="shared" si="89"/>
        <v>29433.47625</v>
      </c>
      <c r="J232" s="120">
        <f t="shared" si="89"/>
        <v>534.096</v>
      </c>
      <c r="K232" s="120">
        <f t="shared" si="89"/>
        <v>240503.83875</v>
      </c>
      <c r="L232" s="120">
        <f t="shared" si="89"/>
        <v>790882.65500000014</v>
      </c>
      <c r="M232" s="120">
        <f t="shared" si="89"/>
        <v>3750</v>
      </c>
      <c r="N232" s="120">
        <f t="shared" si="89"/>
        <v>24335.990000000005</v>
      </c>
      <c r="O232" s="120">
        <f t="shared" si="89"/>
        <v>146360.75</v>
      </c>
      <c r="P232" s="120">
        <f t="shared" si="89"/>
        <v>264461</v>
      </c>
      <c r="Q232" s="120">
        <f t="shared" si="89"/>
        <v>0</v>
      </c>
      <c r="R232" s="120">
        <f t="shared" si="89"/>
        <v>2734440.7684999998</v>
      </c>
      <c r="S232" s="120">
        <f t="shared" si="89"/>
        <v>21637733.647999998</v>
      </c>
    </row>
    <row r="233" spans="1:19" ht="12.6" thickBot="1" x14ac:dyDescent="0.3">
      <c r="F233" s="13"/>
      <c r="I233" s="68"/>
    </row>
    <row r="234" spans="1:19" ht="15.6" customHeight="1" x14ac:dyDescent="0.25">
      <c r="B234" s="69" t="s">
        <v>302</v>
      </c>
      <c r="C234" s="70">
        <f>C48+C49+C56+C57+C58+C63+C64+C65+C66+C67+C68+C122+C123+C83+C84+C85+C86+C87+C88+C89+C99+C94+C90+C91+C74+C97+C95+C93+C92+C100+C98+C101+C112+C113+C132+C128+C133+C134+C145+C152+C158+C165+C172+C173+C174+C181+C140+C69+C70+C71+C72+C73+C118+C119+C96</f>
        <v>49.75</v>
      </c>
      <c r="D234" s="70"/>
      <c r="E234" s="70">
        <f>E48+E49+E56+E57+E58+E63+E64+E65+E66+E67+E68+E122+E123+E83+E84+E85+E86+E87+E88+E89+E99+E94+E90+E91+E74+E97+E95+E93+E92+E100+E98+E101+E112+E113+E132+E128+E133+E134+E145+E152+E158+E165+E172+E173+E174+E181+E140+E69+E70+E71+E72+E73+E118+E119+E96</f>
        <v>377864.5</v>
      </c>
      <c r="F234" s="70"/>
      <c r="G234" s="70"/>
      <c r="H234" s="70"/>
      <c r="I234" s="70"/>
      <c r="J234" s="70"/>
      <c r="K234" s="70"/>
      <c r="L234" s="70"/>
      <c r="M234" s="70"/>
      <c r="N234" s="70"/>
      <c r="O234" s="70"/>
      <c r="P234" s="70"/>
      <c r="Q234" s="70" t="e">
        <f>Q48+Q49+Q56+Q57+Q58+Q63+Q64+Q65+Q66+Q67+Q68+Q122+Q123+Q83+Q84+Q85+Q86+Q87+Q88+Q89+Q99+Q94+Q90+#REF!+Q91+Q74+Q97+Q95+Q93+Q92+Q100+Q98+Q101+Q112+Q113+Q132+Q128+Q133+Q134+Q145+Q152+Q158+Q165+Q172+Q173+Q174+Q181+Q140+Q69+Q70+Q71+Q72+Q73+Q118+Q119</f>
        <v>#REF!</v>
      </c>
      <c r="R234" s="70">
        <f>R48+R49+R56+R57+R58+R63+R64+R65+R66+R67+R68+R122+R123+R83+R84+R85+R86+R87+R88+R89+R99+R94+R90+R91+R74+R97+R95+R93+R92+R100+R98+R101+R112+R113+R132+R128+R133+R134+R145+R152+R158+R165+R172+R173+R174+R181+R140+R69+R70+R71+R72+R73+R118+R119+R96</f>
        <v>980000</v>
      </c>
      <c r="S234" s="70">
        <f>S48+S49+S56+S57+S58+S63+S64+S65+S66+S67+S68+S122+S123+S83+S84+S85+S86+S87+S88+S89+S99+S94+S90+S91+S74+S97+S95+S93+S92+S100+S98+S101+S112+S113+S132+S128+S133+S134+S145+S152+S158+S165+S172+S173+S174+S181+S140+S69+S70+S71+S72+S73+S118+S119+S96</f>
        <v>7840000</v>
      </c>
    </row>
    <row r="235" spans="1:19" ht="15.6" customHeight="1" x14ac:dyDescent="0.25">
      <c r="B235" s="71" t="s">
        <v>303</v>
      </c>
      <c r="C235" s="72">
        <f>C17+C50+C53+C75+C76+C77+C124+C102+C105+C106+C103+C104+C107+C114+C129+C135+C136+C137+C146+C153+C154+C159+C160+C166+C167+C175+C176+C182+C217+C216+C222+C211+C197+C202+C226+C187+C207+C192+C141+C229</f>
        <v>69</v>
      </c>
      <c r="D235" s="72"/>
      <c r="E235" s="123">
        <f>E17+E50+E53+E75+E76+E77+E124+E102+E105+E106+E103+E104+E107+E114+E129+E135+E136+E137+E146+E153+E154+E159+E160+E166+E167+E175+E176+E182+E217+E216+E222+E211+E197+E202+E226+E187+E207+E192+E141+E229</f>
        <v>420034.5</v>
      </c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Q235" s="72">
        <f>Q17+Q50+Q53+Q75+Q76+Q77+Q124+Q102+Q105+Q106+Q103+Q104+Q107+Q114+Q129+Q135+Q136+Q137+Q146+Q153+Q154+Q159+Q160+Q166+Q167+Q175+Q176+Q182+Q217+Q216+Q222+Q211+Q197+Q202+Q226+Q187+Q207+Q192+Q141+Q229</f>
        <v>0</v>
      </c>
      <c r="R235" s="72">
        <f>R17+R50+R53+R75+R76+R77+R124+R102+R105+R106+R103+R104+R107+R114+R129+R135+R136+R137+R146+R153+R154+R159+R160+R166+R167+R175+R176+R182+R217+R216+R222+R211+R197+R202+R226+R187+R207+R192+R141+R229</f>
        <v>929177.67999999993</v>
      </c>
      <c r="S235" s="89">
        <f>S17+S50+S53+S75+S76+S77+S124+S102+S105+S106+S103+S104+S107+S114+S129+S135+S136+S137+S146+S153+S154+S159+S160+S166+S167+S175+S176+S182+S217+S216+S222+S211+S197+S202+S226+S187+S207+S192+S141+S229</f>
        <v>7433421.4399999995</v>
      </c>
    </row>
    <row r="236" spans="1:19" ht="15.6" customHeight="1" x14ac:dyDescent="0.25">
      <c r="B236" s="71" t="s">
        <v>304</v>
      </c>
      <c r="C236" s="72">
        <f>C78+C79+C125+C109+C115+C138+C147+C155+C161+C168+C177+C183+C218+C223+C212+C198+C203+C188+C208+C193+C230</f>
        <v>26.75</v>
      </c>
      <c r="D236" s="72"/>
      <c r="E236" s="123">
        <f>E78+E79+E125+E109+E115+E138+E147+E155+E161+E168+E177+E183+E218+E223+E212+E198+E203+E188+E208+E193+E230</f>
        <v>112193.25</v>
      </c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 t="e">
        <f>Q78+Q79+Q125+Q109+Q115+Q138+Q147+Q155+Q161+Q168+Q177+Q183+Q218+Q223+Q212+Q198+Q203+#REF!+Q188+Q208+Q193+Q230</f>
        <v>#REF!</v>
      </c>
      <c r="R236" s="123">
        <f>R78+R79+R125+R109+R115+R138+R147+R155+R161+R168+R177+R183+R218+R223+R212+R198+R203+R188+R208+R193+R230</f>
        <v>248650.94249999998</v>
      </c>
      <c r="S236" s="124">
        <f>S78+S79+S125+S109+S115+S138+S147+S155+S161+S168+S177+S183+S218+S223+S212+S198+S203+S188+S208+S193+S230</f>
        <v>1989207.5399999998</v>
      </c>
    </row>
    <row r="237" spans="1:19" ht="15.6" customHeight="1" x14ac:dyDescent="0.25">
      <c r="B237" s="71" t="s">
        <v>305</v>
      </c>
      <c r="C237" s="72">
        <f>C14+C15+C16+C18+C19+C20+C21+C22+C23+C24+C25+C26+C29+C31+C32+C33+C35+C36+C37+C43+C44+C45+C40+C51+C52+C59+C80+C108+C148+C149+C162+C169+C178+C219+C213+C199+C204+C189+C194+C142+C34+C30</f>
        <v>45</v>
      </c>
      <c r="D237" s="72"/>
      <c r="E237" s="123">
        <f>E14+E15+E16+E18+E19+E20+E21+E22+E23+E24+E25+E26+E29+E31+E32+E33+E35+E36+E37+E43+E44+E45+E40+E51+E52+E59+E80+E108+E148+E149+E162+E169+E178+E219+E213+E199+E204+E189+E194+E142+E34+E30</f>
        <v>268203.5</v>
      </c>
      <c r="F237" s="72"/>
      <c r="G237" s="72"/>
      <c r="H237" s="72" t="s">
        <v>8</v>
      </c>
      <c r="I237" s="72"/>
      <c r="J237" s="72"/>
      <c r="K237" s="72"/>
      <c r="L237" s="72"/>
      <c r="M237" s="72"/>
      <c r="N237" s="72"/>
      <c r="O237" s="72"/>
      <c r="P237" s="72"/>
      <c r="Q237" s="72">
        <f>Q14+Q15+Q16+Q18+Q19+Q20+Q21+Q22+Q23+Q24+Q25+Q26+Q29+Q31+Q32+Q33+Q35+Q36+Q37+Q43+Q44+Q45+Q40+Q51+Q52+Q59+Q80+Q108+Q148+Q149+Q162+Q169+Q178+Q219+Q213+Q199+Q204+Q189+Q194+Q142+Q34</f>
        <v>0</v>
      </c>
      <c r="R237" s="123">
        <f>R14+R15+R16+R18+R19+R20+R21+R22+R23+R24+R25+R26+R29+R31+R32+R33+R35+R36+R37+R43+R44+R45+R40+R51+R52+R59+R80+R108+R148+R149+R162+R169+R178+R219+R213+R199+R204+R189+R194+R142+R34+R30</f>
        <v>576612.14599999995</v>
      </c>
      <c r="S237" s="123">
        <f>S14+S15+S16+S18+S19+S20+S21+S22+S23+S24+S25+S26+S29+S31+S32+S33+S35+S36+S37+S43+S44+S45+S40+S51+S52+S59+S80+S108+S148+S149+S162+S169+S178+S219+S213+S199+S204+S189+S194+S142+S34+S30</f>
        <v>4375104.6679999996</v>
      </c>
    </row>
    <row r="238" spans="1:19" ht="12.6" thickBot="1" x14ac:dyDescent="0.3">
      <c r="B238" s="73" t="s">
        <v>306</v>
      </c>
      <c r="C238" s="74">
        <f>SUBTOTAL(9,C234:C237)</f>
        <v>190.5</v>
      </c>
      <c r="D238" s="74"/>
      <c r="E238" s="75">
        <f>SUBTOTAL(9,E234:E237)</f>
        <v>1178295.75</v>
      </c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 t="e">
        <f t="shared" ref="Q238:S238" si="90">SUBTOTAL(9,Q234:Q237)</f>
        <v>#REF!</v>
      </c>
      <c r="R238" s="75">
        <f>R234+R235+R236+R237</f>
        <v>2734440.7685000002</v>
      </c>
      <c r="S238" s="76">
        <f t="shared" si="90"/>
        <v>21637733.648000002</v>
      </c>
    </row>
    <row r="239" spans="1:19" ht="19.95" customHeight="1" x14ac:dyDescent="0.25">
      <c r="R239" s="53"/>
    </row>
    <row r="240" spans="1:19" ht="19.2" customHeight="1" x14ac:dyDescent="0.3">
      <c r="B240" s="77" t="s">
        <v>307</v>
      </c>
      <c r="C240" s="78"/>
      <c r="D240" s="78"/>
      <c r="E240" s="79">
        <f>E238</f>
        <v>1178295.75</v>
      </c>
      <c r="G240" s="80"/>
      <c r="H240" s="81"/>
      <c r="I240" s="82"/>
    </row>
    <row r="241" spans="2:10" x14ac:dyDescent="0.25">
      <c r="B241" s="77" t="s">
        <v>346</v>
      </c>
      <c r="E241" s="52">
        <f>S232+E240</f>
        <v>22816029.397999998</v>
      </c>
    </row>
    <row r="243" spans="2:10" ht="15.6" x14ac:dyDescent="0.3">
      <c r="C243" s="83"/>
      <c r="D243" s="83"/>
      <c r="E243" s="83"/>
      <c r="F243" s="83"/>
      <c r="G243" s="83"/>
      <c r="H243" s="83"/>
      <c r="I243" s="83"/>
      <c r="J243" s="83"/>
    </row>
    <row r="244" spans="2:10" ht="15.6" x14ac:dyDescent="0.3">
      <c r="C244" s="83" t="s">
        <v>3</v>
      </c>
      <c r="D244" s="83"/>
      <c r="E244" s="83"/>
      <c r="F244" s="83"/>
      <c r="G244" s="83"/>
      <c r="H244" s="83" t="s">
        <v>349</v>
      </c>
      <c r="I244" s="83"/>
      <c r="J244" s="83"/>
    </row>
    <row r="245" spans="2:10" ht="15.6" x14ac:dyDescent="0.3">
      <c r="C245" s="83"/>
      <c r="D245" s="83"/>
      <c r="E245" s="83"/>
      <c r="F245" s="83"/>
      <c r="G245" s="83"/>
      <c r="H245" s="83"/>
      <c r="I245" s="83"/>
      <c r="J245" s="83"/>
    </row>
    <row r="246" spans="2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2:10" ht="15.6" x14ac:dyDescent="0.3">
      <c r="C247" s="143"/>
      <c r="D247" s="143"/>
      <c r="E247" s="143"/>
      <c r="F247" s="83"/>
      <c r="G247" s="83"/>
      <c r="H247" s="83"/>
      <c r="I247" s="83"/>
      <c r="J247" s="83"/>
    </row>
    <row r="248" spans="2:10" ht="15.6" x14ac:dyDescent="0.3">
      <c r="C248" s="83"/>
      <c r="D248" s="84"/>
      <c r="E248" s="84"/>
      <c r="F248" s="83"/>
      <c r="G248" s="83"/>
      <c r="H248" s="83"/>
      <c r="I248" s="83"/>
      <c r="J248" s="83"/>
    </row>
    <row r="249" spans="2:10" ht="15.6" x14ac:dyDescent="0.3">
      <c r="C249" s="83"/>
      <c r="D249" s="83"/>
      <c r="E249" s="83"/>
      <c r="F249" s="83"/>
      <c r="G249" s="83"/>
      <c r="H249" s="83"/>
      <c r="I249" s="83"/>
      <c r="J249" s="83"/>
    </row>
    <row r="250" spans="2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2:10" ht="15.6" x14ac:dyDescent="0.3">
      <c r="C251" s="83"/>
      <c r="D251" s="83"/>
      <c r="E251" s="83"/>
      <c r="F251" s="83"/>
      <c r="G251" s="83"/>
      <c r="H251" s="83"/>
      <c r="I251" s="83"/>
      <c r="J251" s="83"/>
    </row>
    <row r="252" spans="2:10" ht="15.6" x14ac:dyDescent="0.3">
      <c r="C252" s="83"/>
      <c r="D252" s="83"/>
      <c r="E252" s="83"/>
      <c r="F252" s="83"/>
      <c r="G252" s="83"/>
      <c r="H252" s="83"/>
      <c r="I252" s="83"/>
      <c r="J252" s="83"/>
    </row>
    <row r="253" spans="2:10" ht="15.6" x14ac:dyDescent="0.3">
      <c r="C253" s="143"/>
      <c r="D253" s="144"/>
      <c r="E253" s="144"/>
      <c r="F253" s="83"/>
      <c r="G253" s="83"/>
      <c r="H253" s="83"/>
      <c r="I253" s="83"/>
      <c r="J253" s="83"/>
    </row>
    <row r="254" spans="2:10" ht="15.6" x14ac:dyDescent="0.3">
      <c r="C254" s="83"/>
      <c r="D254" s="84"/>
      <c r="E254" s="84"/>
      <c r="F254" s="83"/>
      <c r="G254" s="83"/>
      <c r="H254" s="83"/>
      <c r="I254" s="83"/>
      <c r="J254" s="83"/>
    </row>
    <row r="255" spans="2:10" ht="15.6" x14ac:dyDescent="0.3">
      <c r="C255" s="83"/>
      <c r="D255" s="83"/>
      <c r="E255" s="83"/>
      <c r="F255" s="83"/>
      <c r="G255" s="83"/>
      <c r="H255" s="83"/>
      <c r="I255" s="83"/>
      <c r="J255" s="83"/>
    </row>
    <row r="256" spans="2:10" ht="15.6" x14ac:dyDescent="0.3">
      <c r="C256" s="83"/>
      <c r="D256" s="83"/>
      <c r="E256" s="83"/>
      <c r="F256" s="83"/>
      <c r="G256" s="83"/>
      <c r="H256" s="83"/>
      <c r="I256" s="83"/>
      <c r="J256" s="83"/>
    </row>
  </sheetData>
  <mergeCells count="29">
    <mergeCell ref="C253:E253"/>
    <mergeCell ref="O11:O12"/>
    <mergeCell ref="P11:P12"/>
    <mergeCell ref="Q11:Q12"/>
    <mergeCell ref="R11:R12"/>
    <mergeCell ref="S11:S12"/>
    <mergeCell ref="C247:E247"/>
    <mergeCell ref="F11:F12"/>
    <mergeCell ref="G11:G12"/>
    <mergeCell ref="H11:K11"/>
    <mergeCell ref="L11:L12"/>
    <mergeCell ref="M11:M12"/>
    <mergeCell ref="N11:N12"/>
    <mergeCell ref="M6:S6"/>
    <mergeCell ref="O8:P8"/>
    <mergeCell ref="S8:AH8"/>
    <mergeCell ref="B9:R9"/>
    <mergeCell ref="B10:R10"/>
    <mergeCell ref="A11:A12"/>
    <mergeCell ref="B11:B12"/>
    <mergeCell ref="C11:C12"/>
    <mergeCell ref="D11:D12"/>
    <mergeCell ref="E11:E12"/>
    <mergeCell ref="B1:S1"/>
    <mergeCell ref="M2:S2"/>
    <mergeCell ref="B3:D3"/>
    <mergeCell ref="M3:S3"/>
    <mergeCell ref="B5:D5"/>
    <mergeCell ref="M5:P5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2D091-EF96-42C1-A2D6-BB40EE0E7582}">
  <dimension ref="A1:AI256"/>
  <sheetViews>
    <sheetView tabSelected="1" view="pageBreakPreview" topLeftCell="A223" zoomScale="70" zoomScaleNormal="70" zoomScaleSheetLayoutView="70" workbookViewId="0">
      <selection activeCell="U243" sqref="U243"/>
    </sheetView>
  </sheetViews>
  <sheetFormatPr defaultColWidth="8.88671875" defaultRowHeight="12" x14ac:dyDescent="0.25"/>
  <cols>
    <col min="1" max="1" width="5.109375" style="1" customWidth="1"/>
    <col min="2" max="2" width="48.6640625" style="2" customWidth="1"/>
    <col min="3" max="3" width="1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2" width="11.33203125" style="2" customWidth="1"/>
    <col min="13" max="13" width="10.21875" style="2" customWidth="1"/>
    <col min="14" max="14" width="9.88671875" style="2" customWidth="1"/>
    <col min="15" max="15" width="10" style="2" customWidth="1"/>
    <col min="16" max="16" width="9.44140625" style="2" customWidth="1"/>
    <col min="17" max="17" width="0.21875" style="2" customWidth="1"/>
    <col min="18" max="18" width="10.5546875" style="2" customWidth="1"/>
    <col min="19" max="19" width="14.1093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4"/>
      <c r="S1" s="16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63"/>
      <c r="N2" s="164"/>
      <c r="O2" s="164"/>
      <c r="P2" s="164"/>
      <c r="Q2" s="164"/>
      <c r="R2" s="164"/>
      <c r="S2" s="164"/>
    </row>
    <row r="3" spans="1:35" ht="40.799999999999997" customHeight="1" x14ac:dyDescent="0.35">
      <c r="B3" s="165" t="s">
        <v>0</v>
      </c>
      <c r="C3" s="166"/>
      <c r="D3" s="166"/>
      <c r="E3" s="4"/>
      <c r="F3" s="4"/>
      <c r="G3" s="4"/>
      <c r="H3" s="4"/>
      <c r="I3" s="4"/>
      <c r="J3" s="4"/>
      <c r="K3" s="4"/>
      <c r="L3" s="4"/>
      <c r="M3" s="167" t="s">
        <v>357</v>
      </c>
      <c r="N3" s="168"/>
      <c r="O3" s="168"/>
      <c r="P3" s="168"/>
      <c r="Q3" s="168"/>
      <c r="R3" s="168"/>
      <c r="S3" s="168"/>
    </row>
    <row r="4" spans="1:35" ht="17.399999999999999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 t="s">
        <v>347</v>
      </c>
      <c r="N4"/>
      <c r="O4"/>
      <c r="P4"/>
      <c r="Q4"/>
      <c r="R4"/>
      <c r="S4"/>
    </row>
    <row r="5" spans="1:35" ht="17.399999999999999" x14ac:dyDescent="0.3">
      <c r="B5" s="169" t="s">
        <v>2</v>
      </c>
      <c r="C5" s="169"/>
      <c r="D5" s="169"/>
      <c r="G5" s="8"/>
      <c r="H5" s="8"/>
      <c r="I5" s="8"/>
      <c r="J5" s="8"/>
      <c r="K5" s="8"/>
      <c r="L5" s="8"/>
      <c r="M5" s="143"/>
      <c r="N5" s="144"/>
      <c r="O5" s="144"/>
      <c r="P5" s="144"/>
      <c r="Q5" s="9"/>
      <c r="R5" s="9"/>
      <c r="S5" s="3"/>
    </row>
    <row r="6" spans="1:35" ht="29.4" customHeight="1" x14ac:dyDescent="0.3">
      <c r="B6" s="10"/>
      <c r="G6" s="11"/>
      <c r="H6" s="12"/>
      <c r="M6" s="155"/>
      <c r="N6" s="144"/>
      <c r="O6" s="144"/>
      <c r="P6" s="144"/>
      <c r="Q6" s="144"/>
      <c r="R6" s="144"/>
      <c r="S6" s="144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6" t="s">
        <v>356</v>
      </c>
      <c r="P8" s="157"/>
      <c r="Q8" s="13"/>
      <c r="R8" s="13"/>
      <c r="S8" s="158" t="s">
        <v>6</v>
      </c>
      <c r="T8" s="158"/>
      <c r="U8" s="158"/>
      <c r="V8" s="158"/>
      <c r="W8" s="158"/>
      <c r="X8" s="158"/>
      <c r="Y8" s="158"/>
      <c r="Z8" s="158"/>
      <c r="AA8" s="158"/>
      <c r="AB8" s="158"/>
      <c r="AC8" s="158"/>
      <c r="AD8" s="158"/>
      <c r="AE8" s="158"/>
      <c r="AF8" s="158"/>
      <c r="AG8" s="158"/>
      <c r="AH8" s="158"/>
      <c r="AI8" s="14"/>
    </row>
    <row r="9" spans="1:35" ht="23.4" customHeight="1" x14ac:dyDescent="0.3">
      <c r="B9" s="159" t="s">
        <v>7</v>
      </c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4" t="s">
        <v>8</v>
      </c>
    </row>
    <row r="10" spans="1:35" ht="27.6" customHeight="1" thickBot="1" x14ac:dyDescent="0.35">
      <c r="B10" s="160" t="s">
        <v>355</v>
      </c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</row>
    <row r="11" spans="1:35" ht="37.950000000000003" customHeight="1" x14ac:dyDescent="0.25">
      <c r="A11" s="161"/>
      <c r="B11" s="149" t="s">
        <v>10</v>
      </c>
      <c r="C11" s="151" t="s">
        <v>11</v>
      </c>
      <c r="D11" s="151" t="s">
        <v>12</v>
      </c>
      <c r="E11" s="151" t="s">
        <v>13</v>
      </c>
      <c r="F11" s="151" t="s">
        <v>14</v>
      </c>
      <c r="G11" s="151" t="s">
        <v>15</v>
      </c>
      <c r="H11" s="151" t="s">
        <v>16</v>
      </c>
      <c r="I11" s="151"/>
      <c r="J11" s="151"/>
      <c r="K11" s="151"/>
      <c r="L11" s="147" t="s">
        <v>17</v>
      </c>
      <c r="M11" s="147" t="s">
        <v>18</v>
      </c>
      <c r="N11" s="147" t="s">
        <v>19</v>
      </c>
      <c r="O11" s="145" t="s">
        <v>20</v>
      </c>
      <c r="P11" s="147" t="s">
        <v>21</v>
      </c>
      <c r="Q11" s="149"/>
      <c r="R11" s="151" t="s">
        <v>22</v>
      </c>
      <c r="S11" s="153" t="s">
        <v>359</v>
      </c>
    </row>
    <row r="12" spans="1:35" ht="64.95" customHeight="1" thickBot="1" x14ac:dyDescent="0.3">
      <c r="A12" s="162"/>
      <c r="B12" s="150"/>
      <c r="C12" s="152"/>
      <c r="D12" s="152"/>
      <c r="E12" s="152"/>
      <c r="F12" s="152"/>
      <c r="G12" s="152"/>
      <c r="H12" s="16" t="s">
        <v>24</v>
      </c>
      <c r="I12" s="17" t="s">
        <v>25</v>
      </c>
      <c r="J12" s="17" t="s">
        <v>26</v>
      </c>
      <c r="K12" s="16" t="s">
        <v>27</v>
      </c>
      <c r="L12" s="148"/>
      <c r="M12" s="148"/>
      <c r="N12" s="148"/>
      <c r="O12" s="146"/>
      <c r="P12" s="148"/>
      <c r="Q12" s="150"/>
      <c r="R12" s="152"/>
      <c r="S12" s="154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R14*6</f>
        <v>322500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R15*6</f>
        <v>135000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135000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6315</v>
      </c>
      <c r="F17" s="23"/>
      <c r="G17" s="23">
        <f>E17</f>
        <v>6315</v>
      </c>
      <c r="H17" s="23">
        <f>G17*0.5</f>
        <v>3157.5</v>
      </c>
      <c r="I17" s="23" t="s">
        <v>37</v>
      </c>
      <c r="J17" s="24"/>
      <c r="K17" s="22">
        <f>G17*0.3</f>
        <v>1894.5</v>
      </c>
      <c r="L17" s="23"/>
      <c r="M17" s="24"/>
      <c r="N17" s="23"/>
      <c r="O17" s="26">
        <f>G17*200%</f>
        <v>12630</v>
      </c>
      <c r="P17" s="24"/>
      <c r="Q17" s="22"/>
      <c r="R17" s="23">
        <f>N17+K17+H17+E17+L17+O17</f>
        <v>23997</v>
      </c>
      <c r="S17" s="25">
        <f t="shared" si="0"/>
        <v>143982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6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240000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5691*C19</f>
        <v>11382</v>
      </c>
      <c r="F19" s="23"/>
      <c r="G19" s="23">
        <f t="shared" si="1"/>
        <v>11382</v>
      </c>
      <c r="H19" s="23">
        <f t="shared" ref="H19:H26" si="2">G19*0.5</f>
        <v>5691</v>
      </c>
      <c r="I19" s="23"/>
      <c r="J19" s="23"/>
      <c r="K19" s="23"/>
      <c r="L19" s="23" t="s">
        <v>44</v>
      </c>
      <c r="M19" s="23"/>
      <c r="N19" s="23"/>
      <c r="O19" s="23">
        <f>E19*200%</f>
        <v>22764</v>
      </c>
      <c r="P19" s="23" t="s">
        <v>8</v>
      </c>
      <c r="Q19" s="23"/>
      <c r="R19" s="23">
        <f>G19+H19+O19</f>
        <v>39837</v>
      </c>
      <c r="S19" s="25">
        <f t="shared" si="0"/>
        <v>239022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9</v>
      </c>
      <c r="E20" s="23">
        <v>6003</v>
      </c>
      <c r="F20" s="23"/>
      <c r="G20" s="23">
        <f t="shared" si="1"/>
        <v>6003</v>
      </c>
      <c r="H20" s="23">
        <f t="shared" si="2"/>
        <v>3001.5</v>
      </c>
      <c r="I20" s="23"/>
      <c r="J20" s="23"/>
      <c r="K20" s="23"/>
      <c r="L20" s="23" t="s">
        <v>44</v>
      </c>
      <c r="M20" s="23"/>
      <c r="N20" s="23"/>
      <c r="O20" s="23">
        <f>E20*200%</f>
        <v>12006</v>
      </c>
      <c r="P20" s="23" t="s">
        <v>8</v>
      </c>
      <c r="Q20" s="23"/>
      <c r="R20" s="23">
        <f>G20+H20+O20</f>
        <v>21010.5</v>
      </c>
      <c r="S20" s="25">
        <f t="shared" si="0"/>
        <v>126063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5691</v>
      </c>
      <c r="F21" s="22"/>
      <c r="G21" s="23">
        <f t="shared" si="1"/>
        <v>5691</v>
      </c>
      <c r="H21" s="23">
        <f t="shared" si="2"/>
        <v>2845.5</v>
      </c>
      <c r="I21" s="24"/>
      <c r="J21" s="24"/>
      <c r="K21" s="22"/>
      <c r="L21" s="24"/>
      <c r="M21" s="24"/>
      <c r="N21" s="23"/>
      <c r="O21" s="23">
        <f>G21*200%</f>
        <v>11382</v>
      </c>
      <c r="P21" s="24"/>
      <c r="Q21" s="22"/>
      <c r="R21" s="23">
        <f t="shared" ref="R21:R25" si="3">G21+H21+O21</f>
        <v>19918.5</v>
      </c>
      <c r="S21" s="25">
        <f t="shared" si="0"/>
        <v>119511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5032</v>
      </c>
      <c r="F22" s="22"/>
      <c r="G22" s="23">
        <f t="shared" si="1"/>
        <v>5032</v>
      </c>
      <c r="H22" s="22">
        <f t="shared" si="2"/>
        <v>2516</v>
      </c>
      <c r="I22" s="24"/>
      <c r="J22" s="24"/>
      <c r="K22" s="22"/>
      <c r="L22" s="24"/>
      <c r="M22" s="24"/>
      <c r="N22" s="23"/>
      <c r="O22" s="23">
        <f>G22*200%</f>
        <v>10064</v>
      </c>
      <c r="P22" s="24"/>
      <c r="Q22" s="22"/>
      <c r="R22" s="23">
        <f t="shared" si="3"/>
        <v>17612</v>
      </c>
      <c r="S22" s="25">
        <f t="shared" si="0"/>
        <v>105672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5032*C23</f>
        <v>2516</v>
      </c>
      <c r="F23" s="22"/>
      <c r="G23" s="23">
        <f t="shared" si="1"/>
        <v>2516</v>
      </c>
      <c r="H23" s="22">
        <f t="shared" si="2"/>
        <v>1258</v>
      </c>
      <c r="I23" s="24"/>
      <c r="J23" s="24"/>
      <c r="K23" s="22"/>
      <c r="L23" s="24"/>
      <c r="M23" s="24"/>
      <c r="N23" s="23"/>
      <c r="O23" s="23">
        <f>G23*150%</f>
        <v>3774</v>
      </c>
      <c r="P23" s="24"/>
      <c r="Q23" s="22"/>
      <c r="R23" s="23">
        <f t="shared" si="3"/>
        <v>7548</v>
      </c>
      <c r="S23" s="25">
        <f t="shared" si="0"/>
        <v>45288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4407</v>
      </c>
      <c r="F24" s="22"/>
      <c r="G24" s="23">
        <f t="shared" si="1"/>
        <v>4407</v>
      </c>
      <c r="H24" s="22">
        <f t="shared" si="2"/>
        <v>2203.5</v>
      </c>
      <c r="I24" s="24"/>
      <c r="J24" s="24"/>
      <c r="K24" s="22"/>
      <c r="L24" s="24"/>
      <c r="M24" s="24"/>
      <c r="N24" s="23"/>
      <c r="O24" s="23">
        <f>G24*200%</f>
        <v>8814</v>
      </c>
      <c r="P24" s="24"/>
      <c r="Q24" s="22"/>
      <c r="R24" s="23">
        <f t="shared" si="3"/>
        <v>15424.5</v>
      </c>
      <c r="S24" s="25">
        <f t="shared" si="0"/>
        <v>92547</v>
      </c>
    </row>
    <row r="25" spans="1:19" x14ac:dyDescent="0.25">
      <c r="A25" s="20" t="s">
        <v>55</v>
      </c>
      <c r="B25" s="21" t="s">
        <v>56</v>
      </c>
      <c r="C25" s="22">
        <v>0.5</v>
      </c>
      <c r="D25" s="22">
        <v>9</v>
      </c>
      <c r="E25" s="23">
        <v>3001.5</v>
      </c>
      <c r="F25" s="23"/>
      <c r="G25" s="23">
        <f t="shared" si="1"/>
        <v>3001.5</v>
      </c>
      <c r="H25" s="23">
        <f t="shared" si="2"/>
        <v>1500.75</v>
      </c>
      <c r="I25" s="23"/>
      <c r="J25" s="23"/>
      <c r="K25" s="23"/>
      <c r="L25" s="23"/>
      <c r="M25" s="23"/>
      <c r="N25" s="23"/>
      <c r="O25" s="23">
        <f>G25*150%</f>
        <v>4502.25</v>
      </c>
      <c r="P25" s="23"/>
      <c r="Q25" s="23"/>
      <c r="R25" s="23">
        <f t="shared" si="3"/>
        <v>9004.5</v>
      </c>
      <c r="S25" s="25">
        <f t="shared" si="0"/>
        <v>54027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4407*C26</f>
        <v>4407</v>
      </c>
      <c r="F26" s="22"/>
      <c r="G26" s="23">
        <f t="shared" si="1"/>
        <v>4407</v>
      </c>
      <c r="H26" s="22">
        <f t="shared" si="2"/>
        <v>2203.5</v>
      </c>
      <c r="I26" s="24"/>
      <c r="J26" s="24"/>
      <c r="K26" s="22"/>
      <c r="L26" s="24"/>
      <c r="M26" s="24"/>
      <c r="N26" s="23"/>
      <c r="O26" s="23">
        <f>G26*150%</f>
        <v>6610.5</v>
      </c>
      <c r="P26" s="24"/>
      <c r="Q26" s="22"/>
      <c r="R26" s="23">
        <f>G26+H26+O26</f>
        <v>13221</v>
      </c>
      <c r="S26" s="25">
        <f t="shared" si="0"/>
        <v>79326</v>
      </c>
    </row>
    <row r="27" spans="1:19" s="27" customFormat="1" ht="19.2" customHeight="1" thickBot="1" x14ac:dyDescent="0.3">
      <c r="A27" s="64"/>
      <c r="B27" s="47" t="s">
        <v>59</v>
      </c>
      <c r="C27" s="34">
        <f>SUM(C14:C26)</f>
        <v>13</v>
      </c>
      <c r="D27" s="34"/>
      <c r="E27" s="35">
        <f>SUM(E14:E26)</f>
        <v>138754.5</v>
      </c>
      <c r="F27" s="34"/>
      <c r="G27" s="35">
        <f>SUM(G14:G26)</f>
        <v>138754.5</v>
      </c>
      <c r="H27" s="34">
        <f>SUM(H14:H26)</f>
        <v>24377.25</v>
      </c>
      <c r="I27" s="90"/>
      <c r="J27" s="90"/>
      <c r="K27" s="34">
        <f>SUM(K14:K26)</f>
        <v>1894.5</v>
      </c>
      <c r="L27" s="90"/>
      <c r="M27" s="34">
        <f>SUM(M14:M26)</f>
        <v>3750</v>
      </c>
      <c r="N27" s="35"/>
      <c r="O27" s="35">
        <f>SUM(O14:O26)</f>
        <v>137546.75</v>
      </c>
      <c r="P27" s="90"/>
      <c r="Q27" s="34"/>
      <c r="R27" s="35">
        <f>SUM(R14:R26)</f>
        <v>306323</v>
      </c>
      <c r="S27" s="31">
        <f>SUM(S14:S26)</f>
        <v>1837938</v>
      </c>
    </row>
    <row r="28" spans="1:19" s="13" customFormat="1" ht="21.6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25"/>
    </row>
    <row r="29" spans="1:19" x14ac:dyDescent="0.25">
      <c r="A29" s="20" t="s">
        <v>61</v>
      </c>
      <c r="B29" s="21" t="s">
        <v>62</v>
      </c>
      <c r="C29" s="22">
        <v>1</v>
      </c>
      <c r="D29" s="22">
        <v>7</v>
      </c>
      <c r="E29" s="23">
        <f>5344*C29</f>
        <v>5344</v>
      </c>
      <c r="F29" s="22"/>
      <c r="G29" s="23">
        <f t="shared" ref="G29:G32" si="4">E29+F29</f>
        <v>5344</v>
      </c>
      <c r="H29" s="23"/>
      <c r="I29" s="23"/>
      <c r="J29" s="23"/>
      <c r="K29" s="23"/>
      <c r="L29" s="23"/>
      <c r="M29" s="23"/>
      <c r="N29" s="23"/>
      <c r="O29" s="23"/>
      <c r="P29" s="23">
        <f>8647*C29-G29</f>
        <v>3303</v>
      </c>
      <c r="Q29" s="23"/>
      <c r="R29" s="23">
        <f>G29+H29+I29+ J29+K29+L29+N29+O29+P29</f>
        <v>8647</v>
      </c>
      <c r="S29" s="25">
        <f>R29*6</f>
        <v>51882</v>
      </c>
    </row>
    <row r="30" spans="1:19" x14ac:dyDescent="0.25">
      <c r="A30" s="20" t="s">
        <v>61</v>
      </c>
      <c r="B30" s="21" t="s">
        <v>328</v>
      </c>
      <c r="C30" s="22">
        <v>0.5</v>
      </c>
      <c r="D30" s="22">
        <v>6</v>
      </c>
      <c r="E30" s="23">
        <f>5032*C30</f>
        <v>2516</v>
      </c>
      <c r="F30" s="22"/>
      <c r="G30" s="23">
        <f t="shared" si="4"/>
        <v>2516</v>
      </c>
      <c r="H30" s="23"/>
      <c r="I30" s="23"/>
      <c r="J30" s="23"/>
      <c r="K30" s="23"/>
      <c r="L30" s="23"/>
      <c r="M30" s="23"/>
      <c r="N30" s="23"/>
      <c r="O30" s="23"/>
      <c r="P30" s="23">
        <f>8647*C30-G30</f>
        <v>1807.5</v>
      </c>
      <c r="Q30" s="23"/>
      <c r="R30" s="23">
        <f>G30+H30+I30+ J30+K30+L30+N30+O30+P30</f>
        <v>4323.5</v>
      </c>
      <c r="S30" s="25">
        <f t="shared" ref="S30:S37" si="5">R30*6</f>
        <v>25941</v>
      </c>
    </row>
    <row r="31" spans="1:19" x14ac:dyDescent="0.25">
      <c r="A31" s="20" t="s">
        <v>63</v>
      </c>
      <c r="B31" s="21" t="s">
        <v>64</v>
      </c>
      <c r="C31" s="22">
        <v>0.5</v>
      </c>
      <c r="D31" s="22">
        <v>1</v>
      </c>
      <c r="E31" s="23">
        <f>3470*C31</f>
        <v>1735</v>
      </c>
      <c r="F31" s="22"/>
      <c r="G31" s="23">
        <f t="shared" si="4"/>
        <v>1735</v>
      </c>
      <c r="H31" s="23"/>
      <c r="I31" s="23"/>
      <c r="J31" s="23"/>
      <c r="K31" s="23"/>
      <c r="L31" s="23"/>
      <c r="M31" s="23"/>
      <c r="N31" s="23"/>
      <c r="O31" s="23"/>
      <c r="P31" s="23">
        <f>8647*C31-E31</f>
        <v>2588.5</v>
      </c>
      <c r="Q31" s="23"/>
      <c r="R31" s="23">
        <f t="shared" ref="R31:R32" si="6">G31+H31+I31+ J31+K31+L31+N31+O31+P31</f>
        <v>4323.5</v>
      </c>
      <c r="S31" s="25">
        <f t="shared" si="5"/>
        <v>25941</v>
      </c>
    </row>
    <row r="32" spans="1:19" x14ac:dyDescent="0.25">
      <c r="A32" s="20" t="s">
        <v>65</v>
      </c>
      <c r="B32" s="21" t="s">
        <v>66</v>
      </c>
      <c r="C32" s="22">
        <v>1.5</v>
      </c>
      <c r="D32" s="22">
        <v>1</v>
      </c>
      <c r="E32" s="23">
        <f>3470*C32</f>
        <v>5205</v>
      </c>
      <c r="F32" s="22"/>
      <c r="G32" s="23">
        <f t="shared" si="4"/>
        <v>5205</v>
      </c>
      <c r="H32" s="23"/>
      <c r="I32" s="23"/>
      <c r="J32" s="23"/>
      <c r="K32" s="23"/>
      <c r="L32" s="23"/>
      <c r="M32" s="23"/>
      <c r="N32" s="23"/>
      <c r="O32" s="23"/>
      <c r="P32" s="23">
        <f>8647*C32-G32</f>
        <v>7765.5</v>
      </c>
      <c r="Q32" s="23"/>
      <c r="R32" s="23">
        <f t="shared" si="6"/>
        <v>12970.5</v>
      </c>
      <c r="S32" s="25">
        <f t="shared" si="5"/>
        <v>77823</v>
      </c>
    </row>
    <row r="33" spans="1:19" x14ac:dyDescent="0.25">
      <c r="A33" s="20" t="s">
        <v>67</v>
      </c>
      <c r="B33" s="21" t="s">
        <v>68</v>
      </c>
      <c r="C33" s="22">
        <v>1.5</v>
      </c>
      <c r="D33" s="22">
        <v>3</v>
      </c>
      <c r="E33" s="23">
        <f>4095*C33</f>
        <v>6142.5</v>
      </c>
      <c r="F33" s="22"/>
      <c r="G33" s="23">
        <f t="shared" si="1"/>
        <v>6142.5</v>
      </c>
      <c r="H33" s="23"/>
      <c r="I33" s="23"/>
      <c r="J33" s="23"/>
      <c r="K33" s="23"/>
      <c r="L33" s="23"/>
      <c r="M33" s="23"/>
      <c r="N33" s="23"/>
      <c r="O33" s="23"/>
      <c r="P33" s="23">
        <f>8647*C33-G33</f>
        <v>6828</v>
      </c>
      <c r="Q33" s="23"/>
      <c r="R33" s="23">
        <f>G33+H33+I33+ J33+K33+L33+N33+O33+P33</f>
        <v>12970.5</v>
      </c>
      <c r="S33" s="25">
        <f t="shared" si="5"/>
        <v>77823</v>
      </c>
    </row>
    <row r="34" spans="1:19" ht="24" x14ac:dyDescent="0.25">
      <c r="A34" s="20" t="s">
        <v>67</v>
      </c>
      <c r="B34" s="21" t="s">
        <v>315</v>
      </c>
      <c r="C34" s="22">
        <v>0.5</v>
      </c>
      <c r="D34" s="22">
        <v>3</v>
      </c>
      <c r="E34" s="23">
        <f>4095*C34</f>
        <v>2047.5</v>
      </c>
      <c r="F34" s="22"/>
      <c r="G34" s="23">
        <f t="shared" si="1"/>
        <v>2047.5</v>
      </c>
      <c r="H34" s="23"/>
      <c r="I34" s="23"/>
      <c r="J34" s="23"/>
      <c r="K34" s="23"/>
      <c r="L34" s="23"/>
      <c r="M34" s="23"/>
      <c r="N34" s="23"/>
      <c r="O34" s="23"/>
      <c r="P34" s="23">
        <f>8647*C34-G34</f>
        <v>2276</v>
      </c>
      <c r="Q34" s="23"/>
      <c r="R34" s="23">
        <f>G34+H34+I34+ J34+K34+L34+N34+O34+P34</f>
        <v>4323.5</v>
      </c>
      <c r="S34" s="25">
        <f t="shared" si="5"/>
        <v>25941</v>
      </c>
    </row>
    <row r="35" spans="1:19" ht="12.6" customHeight="1" x14ac:dyDescent="0.25">
      <c r="A35" s="20" t="s">
        <v>69</v>
      </c>
      <c r="B35" s="21" t="s">
        <v>70</v>
      </c>
      <c r="C35" s="22">
        <v>1</v>
      </c>
      <c r="D35" s="22">
        <v>2</v>
      </c>
      <c r="E35" s="23">
        <f>3782*C35</f>
        <v>3782</v>
      </c>
      <c r="F35" s="22">
        <f>E35*0.2</f>
        <v>756.40000000000009</v>
      </c>
      <c r="G35" s="23">
        <f t="shared" si="1"/>
        <v>4538.3999999999996</v>
      </c>
      <c r="H35" s="23"/>
      <c r="I35" s="23"/>
      <c r="J35" s="23">
        <f>G35*4%</f>
        <v>181.536</v>
      </c>
      <c r="K35" s="23"/>
      <c r="L35" s="23"/>
      <c r="M35" s="23"/>
      <c r="N35" s="23"/>
      <c r="O35" s="23"/>
      <c r="P35" s="23">
        <f>8647-E35</f>
        <v>4865</v>
      </c>
      <c r="Q35" s="23"/>
      <c r="R35" s="23">
        <f>G35+J35+P35</f>
        <v>9584.9359999999997</v>
      </c>
      <c r="S35" s="25">
        <f t="shared" si="5"/>
        <v>57509.615999999995</v>
      </c>
    </row>
    <row r="36" spans="1:19" ht="18" customHeight="1" x14ac:dyDescent="0.25">
      <c r="A36" s="20" t="s">
        <v>71</v>
      </c>
      <c r="B36" s="21" t="s">
        <v>72</v>
      </c>
      <c r="C36" s="22">
        <v>1</v>
      </c>
      <c r="D36" s="22">
        <v>1</v>
      </c>
      <c r="E36" s="23">
        <f>3470*C36</f>
        <v>3470</v>
      </c>
      <c r="F36" s="22"/>
      <c r="G36" s="23">
        <f t="shared" si="1"/>
        <v>3470</v>
      </c>
      <c r="H36" s="23"/>
      <c r="I36" s="23"/>
      <c r="J36" s="23"/>
      <c r="K36" s="23"/>
      <c r="L36" s="23"/>
      <c r="M36" s="23"/>
      <c r="N36" s="23"/>
      <c r="O36" s="23"/>
      <c r="P36" s="23">
        <f>8647-G36</f>
        <v>5177</v>
      </c>
      <c r="Q36" s="23"/>
      <c r="R36" s="23">
        <f t="shared" ref="R36" si="7">G36+H36+I36+ J36+K36+L36+N36+O36+P36</f>
        <v>8647</v>
      </c>
      <c r="S36" s="25">
        <f t="shared" si="5"/>
        <v>51882</v>
      </c>
    </row>
    <row r="37" spans="1:19" x14ac:dyDescent="0.25">
      <c r="A37" s="20" t="s">
        <v>73</v>
      </c>
      <c r="B37" s="21" t="s">
        <v>74</v>
      </c>
      <c r="C37" s="22">
        <v>1</v>
      </c>
      <c r="D37" s="22">
        <v>5</v>
      </c>
      <c r="E37" s="23">
        <f>4719*C37</f>
        <v>4719</v>
      </c>
      <c r="F37" s="23"/>
      <c r="G37" s="23">
        <f>E37+F37</f>
        <v>4719</v>
      </c>
      <c r="H37" s="23"/>
      <c r="I37" s="23"/>
      <c r="J37" s="23"/>
      <c r="K37" s="23"/>
      <c r="L37" s="23"/>
      <c r="M37" s="23"/>
      <c r="N37" s="23"/>
      <c r="O37" s="23"/>
      <c r="P37" s="23">
        <f>8647-G37</f>
        <v>3928</v>
      </c>
      <c r="Q37" s="32"/>
      <c r="R37" s="23">
        <f>G37+P37</f>
        <v>8647</v>
      </c>
      <c r="S37" s="25">
        <f t="shared" si="5"/>
        <v>51882</v>
      </c>
    </row>
    <row r="38" spans="1:19" s="27" customFormat="1" ht="20.399999999999999" customHeight="1" thickBot="1" x14ac:dyDescent="0.3">
      <c r="A38" s="64"/>
      <c r="B38" s="47" t="s">
        <v>59</v>
      </c>
      <c r="C38" s="34">
        <f>SUM(C29:C37)</f>
        <v>8.5</v>
      </c>
      <c r="D38" s="34"/>
      <c r="E38" s="35">
        <f>SUM(E29:E37)</f>
        <v>34961</v>
      </c>
      <c r="F38" s="34">
        <f>SUM(F29:F37)</f>
        <v>756.40000000000009</v>
      </c>
      <c r="G38" s="35">
        <f>E38+F38</f>
        <v>35717.4</v>
      </c>
      <c r="H38" s="35"/>
      <c r="I38" s="35">
        <f>SUM(I29:I36)</f>
        <v>0</v>
      </c>
      <c r="J38" s="35">
        <f>SUM(J29:J36)</f>
        <v>181.536</v>
      </c>
      <c r="K38" s="35"/>
      <c r="L38" s="35"/>
      <c r="M38" s="35"/>
      <c r="N38" s="35"/>
      <c r="O38" s="35"/>
      <c r="P38" s="35">
        <f>SUM(P29:P37)</f>
        <v>38538.5</v>
      </c>
      <c r="Q38" s="35"/>
      <c r="R38" s="35">
        <f>SUM(R29:R37)</f>
        <v>74437.436000000002</v>
      </c>
      <c r="S38" s="36">
        <f>SUM(S29:S37)</f>
        <v>446624.61599999998</v>
      </c>
    </row>
    <row r="39" spans="1:19" ht="15.6" customHeight="1" x14ac:dyDescent="0.25">
      <c r="A39" s="18"/>
      <c r="B39" s="86" t="s">
        <v>75</v>
      </c>
      <c r="C39" s="85"/>
      <c r="D39" s="85"/>
      <c r="E39" s="85"/>
      <c r="F39" s="85"/>
      <c r="G39" s="94"/>
      <c r="H39" s="85" t="s">
        <v>76</v>
      </c>
      <c r="I39" s="95"/>
      <c r="J39" s="95"/>
      <c r="K39" s="85"/>
      <c r="L39" s="95"/>
      <c r="M39" s="95"/>
      <c r="N39" s="95"/>
      <c r="O39" s="95"/>
      <c r="P39" s="95"/>
      <c r="Q39" s="85"/>
      <c r="R39" s="85"/>
      <c r="S39" s="96"/>
    </row>
    <row r="40" spans="1:19" s="13" customFormat="1" x14ac:dyDescent="0.2">
      <c r="A40" s="28" t="s">
        <v>77</v>
      </c>
      <c r="B40" s="21" t="s">
        <v>78</v>
      </c>
      <c r="C40" s="22">
        <v>2.5</v>
      </c>
      <c r="D40" s="22">
        <v>2</v>
      </c>
      <c r="E40" s="23">
        <f>3782*C40</f>
        <v>9455</v>
      </c>
      <c r="F40" s="22"/>
      <c r="G40" s="23">
        <f t="shared" ref="G40:G41" si="8">E40+F40</f>
        <v>9455</v>
      </c>
      <c r="H40" s="23"/>
      <c r="I40" s="23"/>
      <c r="J40" s="23"/>
      <c r="K40" s="23"/>
      <c r="L40" s="23"/>
      <c r="M40" s="23"/>
      <c r="N40" s="23"/>
      <c r="O40" s="23"/>
      <c r="P40" s="23">
        <f>8647*C40-G40</f>
        <v>12162.5</v>
      </c>
      <c r="Q40" s="23"/>
      <c r="R40" s="23">
        <f t="shared" ref="R40" si="9">G40+H40+I40+ J40+K40+L40+N40+O40+P40</f>
        <v>21617.5</v>
      </c>
      <c r="S40" s="25">
        <f>R40*6</f>
        <v>129705</v>
      </c>
    </row>
    <row r="41" spans="1:19" s="37" customFormat="1" ht="16.8" customHeight="1" thickBot="1" x14ac:dyDescent="0.3">
      <c r="A41" s="33"/>
      <c r="B41" s="47" t="s">
        <v>59</v>
      </c>
      <c r="C41" s="34">
        <f>SUM(C40:C40)</f>
        <v>2.5</v>
      </c>
      <c r="D41" s="34"/>
      <c r="E41" s="35">
        <f>SUM(E40:E40)</f>
        <v>9455</v>
      </c>
      <c r="F41" s="34"/>
      <c r="G41" s="35">
        <f t="shared" si="8"/>
        <v>9455</v>
      </c>
      <c r="H41" s="35"/>
      <c r="I41" s="35"/>
      <c r="J41" s="35"/>
      <c r="K41" s="35"/>
      <c r="L41" s="35"/>
      <c r="M41" s="35"/>
      <c r="N41" s="35"/>
      <c r="O41" s="35"/>
      <c r="P41" s="35">
        <f>SUM(P40:P40)</f>
        <v>12162.5</v>
      </c>
      <c r="Q41" s="35"/>
      <c r="R41" s="35">
        <f>SUM(G41:Q41)</f>
        <v>21617.5</v>
      </c>
      <c r="S41" s="36">
        <f>SUM(S40:S40)</f>
        <v>129705</v>
      </c>
    </row>
    <row r="42" spans="1:19" s="38" customFormat="1" ht="17.399999999999999" customHeight="1" x14ac:dyDescent="0.25">
      <c r="A42" s="18"/>
      <c r="B42" s="86" t="s">
        <v>79</v>
      </c>
      <c r="C42" s="86"/>
      <c r="D42" s="86"/>
      <c r="E42" s="86"/>
      <c r="F42" s="86"/>
      <c r="G42" s="94"/>
      <c r="H42" s="86"/>
      <c r="I42" s="19"/>
      <c r="J42" s="19"/>
      <c r="K42" s="86"/>
      <c r="L42" s="19"/>
      <c r="M42" s="19"/>
      <c r="N42" s="19"/>
      <c r="O42" s="19"/>
      <c r="P42" s="19"/>
      <c r="Q42" s="86"/>
      <c r="R42" s="86"/>
      <c r="S42" s="87"/>
    </row>
    <row r="43" spans="1:19" s="38" customFormat="1" ht="16.95" customHeight="1" x14ac:dyDescent="0.25">
      <c r="A43" s="20" t="s">
        <v>80</v>
      </c>
      <c r="B43" s="21" t="s">
        <v>64</v>
      </c>
      <c r="C43" s="22">
        <v>0.5</v>
      </c>
      <c r="D43" s="22">
        <v>1</v>
      </c>
      <c r="E43" s="22">
        <f>3470*C43</f>
        <v>1735</v>
      </c>
      <c r="F43" s="22"/>
      <c r="G43" s="22">
        <f>E43+F43</f>
        <v>1735</v>
      </c>
      <c r="H43" s="22"/>
      <c r="I43" s="24"/>
      <c r="J43" s="24"/>
      <c r="K43" s="22"/>
      <c r="L43" s="24"/>
      <c r="M43" s="24"/>
      <c r="N43" s="24"/>
      <c r="O43" s="24"/>
      <c r="P43" s="23">
        <f>8647*C43-E43</f>
        <v>2588.5</v>
      </c>
      <c r="Q43" s="22"/>
      <c r="R43" s="23">
        <f t="shared" ref="R43" si="10">G43+H43+I43+ J43+K43+L43+N43+O43+P43</f>
        <v>4323.5</v>
      </c>
      <c r="S43" s="25">
        <f>R43*6</f>
        <v>25941</v>
      </c>
    </row>
    <row r="44" spans="1:19" x14ac:dyDescent="0.25">
      <c r="A44" s="20" t="s">
        <v>81</v>
      </c>
      <c r="B44" s="21" t="s">
        <v>82</v>
      </c>
      <c r="C44" s="22">
        <v>2</v>
      </c>
      <c r="D44" s="22">
        <v>4</v>
      </c>
      <c r="E44" s="23">
        <f>4407*C44</f>
        <v>8814</v>
      </c>
      <c r="F44" s="22"/>
      <c r="G44" s="23">
        <f t="shared" ref="G44:G45" si="11">E44+F44</f>
        <v>8814</v>
      </c>
      <c r="H44" s="23"/>
      <c r="I44" s="23"/>
      <c r="J44" s="23">
        <f>G44*0.04</f>
        <v>352.56</v>
      </c>
      <c r="K44" s="23"/>
      <c r="L44" s="23"/>
      <c r="M44" s="23"/>
      <c r="N44" s="23"/>
      <c r="O44" s="23"/>
      <c r="P44" s="23">
        <f>8647*C44-G44</f>
        <v>8480</v>
      </c>
      <c r="Q44" s="23"/>
      <c r="R44" s="23">
        <f>SUM(G44:P44)</f>
        <v>17646.559999999998</v>
      </c>
      <c r="S44" s="25">
        <f t="shared" ref="S44:S45" si="12">R44*6</f>
        <v>105879.35999999999</v>
      </c>
    </row>
    <row r="45" spans="1:19" x14ac:dyDescent="0.25">
      <c r="A45" s="20" t="s">
        <v>83</v>
      </c>
      <c r="B45" s="21" t="s">
        <v>84</v>
      </c>
      <c r="C45" s="22">
        <v>2</v>
      </c>
      <c r="D45" s="22">
        <v>1</v>
      </c>
      <c r="E45" s="23">
        <f>3470*C45</f>
        <v>6940</v>
      </c>
      <c r="F45" s="22"/>
      <c r="G45" s="23">
        <f t="shared" si="11"/>
        <v>6940</v>
      </c>
      <c r="H45" s="23"/>
      <c r="I45" s="23">
        <f>G45*0.1</f>
        <v>694</v>
      </c>
      <c r="J45" s="23"/>
      <c r="K45" s="23"/>
      <c r="L45" s="23"/>
      <c r="M45" s="23"/>
      <c r="N45" s="23"/>
      <c r="O45" s="23"/>
      <c r="P45" s="23">
        <f>8647*C45-G45</f>
        <v>10354</v>
      </c>
      <c r="Q45" s="23"/>
      <c r="R45" s="23">
        <f>SUM(G45:P45)</f>
        <v>17988</v>
      </c>
      <c r="S45" s="25">
        <f t="shared" si="12"/>
        <v>107928</v>
      </c>
    </row>
    <row r="46" spans="1:19" s="37" customFormat="1" ht="18" customHeight="1" thickBot="1" x14ac:dyDescent="0.3">
      <c r="A46" s="33"/>
      <c r="B46" s="47" t="s">
        <v>59</v>
      </c>
      <c r="C46" s="34">
        <f>SUM(C43:C45)</f>
        <v>4.5</v>
      </c>
      <c r="D46" s="34"/>
      <c r="E46" s="35">
        <f>SUM(E43:E45)</f>
        <v>17489</v>
      </c>
      <c r="F46" s="34"/>
      <c r="G46" s="35">
        <f>SUM(G43:G45)</f>
        <v>17489</v>
      </c>
      <c r="H46" s="35"/>
      <c r="I46" s="35">
        <f>SUM(I45:I45)</f>
        <v>694</v>
      </c>
      <c r="J46" s="35">
        <f>SUM(J44:J45)</f>
        <v>352.56</v>
      </c>
      <c r="K46" s="35"/>
      <c r="L46" s="35"/>
      <c r="M46" s="35"/>
      <c r="N46" s="35"/>
      <c r="O46" s="35"/>
      <c r="P46" s="35">
        <f>SUM(P43:P45)</f>
        <v>21422.5</v>
      </c>
      <c r="Q46" s="35"/>
      <c r="R46" s="35">
        <f>SUM(R43:R45)</f>
        <v>39958.06</v>
      </c>
      <c r="S46" s="36">
        <f>SUM(S43:S45)</f>
        <v>239748.36</v>
      </c>
    </row>
    <row r="47" spans="1:19" s="39" customFormat="1" ht="13.5" customHeight="1" x14ac:dyDescent="0.25">
      <c r="A47" s="98" t="s">
        <v>316</v>
      </c>
      <c r="B47" s="99" t="s">
        <v>85</v>
      </c>
      <c r="C47" s="100"/>
      <c r="D47" s="100"/>
      <c r="E47" s="101"/>
      <c r="F47" s="100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2"/>
    </row>
    <row r="48" spans="1:19" s="42" customFormat="1" x14ac:dyDescent="0.25">
      <c r="A48" s="43" t="s">
        <v>86</v>
      </c>
      <c r="B48" s="21" t="s">
        <v>87</v>
      </c>
      <c r="C48" s="22">
        <v>0.5</v>
      </c>
      <c r="D48" s="22">
        <v>10</v>
      </c>
      <c r="E48" s="23">
        <f>6315*C48</f>
        <v>3157.5</v>
      </c>
      <c r="F48" s="22"/>
      <c r="G48" s="23">
        <f>E48</f>
        <v>3157.5</v>
      </c>
      <c r="H48" s="23"/>
      <c r="I48" s="23"/>
      <c r="J48" s="40"/>
      <c r="K48" s="23">
        <f>G48*0.3</f>
        <v>947.25</v>
      </c>
      <c r="L48" s="41">
        <f>20000*C48-G48-K48</f>
        <v>5895.25</v>
      </c>
      <c r="M48" s="23"/>
      <c r="N48" s="23"/>
      <c r="O48" s="23"/>
      <c r="P48" s="23"/>
      <c r="Q48" s="23"/>
      <c r="R48" s="23">
        <f>G48+K48+L48</f>
        <v>10000</v>
      </c>
      <c r="S48" s="25">
        <f>R48*6</f>
        <v>60000</v>
      </c>
    </row>
    <row r="49" spans="1:20" s="42" customFormat="1" x14ac:dyDescent="0.25">
      <c r="A49" s="43" t="s">
        <v>88</v>
      </c>
      <c r="B49" s="21" t="s">
        <v>89</v>
      </c>
      <c r="C49" s="22">
        <v>3</v>
      </c>
      <c r="D49" s="22">
        <v>9</v>
      </c>
      <c r="E49" s="23">
        <f>6003*C49</f>
        <v>18009</v>
      </c>
      <c r="F49" s="22"/>
      <c r="G49" s="23">
        <f>E49</f>
        <v>18009</v>
      </c>
      <c r="H49" s="23"/>
      <c r="I49" s="23"/>
      <c r="J49" s="40"/>
      <c r="K49" s="23"/>
      <c r="L49" s="41">
        <f>15000*C49-G49-K49</f>
        <v>26991</v>
      </c>
      <c r="M49" s="23"/>
      <c r="N49" s="23"/>
      <c r="O49" s="23"/>
      <c r="P49" s="23"/>
      <c r="Q49" s="23"/>
      <c r="R49" s="23">
        <f>G49+K49+L49</f>
        <v>45000</v>
      </c>
      <c r="S49" s="25">
        <f t="shared" ref="S49:S54" si="13">R49*6</f>
        <v>270000</v>
      </c>
    </row>
    <row r="50" spans="1:20" s="42" customFormat="1" x14ac:dyDescent="0.25">
      <c r="A50" s="43" t="s">
        <v>90</v>
      </c>
      <c r="B50" s="21" t="s">
        <v>91</v>
      </c>
      <c r="C50" s="22">
        <v>1</v>
      </c>
      <c r="D50" s="22">
        <v>10</v>
      </c>
      <c r="E50" s="23">
        <f>6315*C50</f>
        <v>6315</v>
      </c>
      <c r="F50" s="22"/>
      <c r="G50" s="23">
        <f>E50</f>
        <v>6315</v>
      </c>
      <c r="H50" s="23"/>
      <c r="I50" s="23"/>
      <c r="J50" s="40"/>
      <c r="K50" s="23">
        <f>G50*0.3</f>
        <v>1894.5</v>
      </c>
      <c r="L50" s="41">
        <f>13500-G50-K50</f>
        <v>5290.5</v>
      </c>
      <c r="M50" s="23"/>
      <c r="N50" s="23"/>
      <c r="O50" s="23"/>
      <c r="P50" s="23"/>
      <c r="Q50" s="23"/>
      <c r="R50" s="23">
        <f>G50+K50+L50</f>
        <v>13500</v>
      </c>
      <c r="S50" s="25">
        <f t="shared" si="13"/>
        <v>81000</v>
      </c>
    </row>
    <row r="51" spans="1:20" s="42" customFormat="1" x14ac:dyDescent="0.25">
      <c r="A51" s="43" t="s">
        <v>92</v>
      </c>
      <c r="B51" s="21" t="s">
        <v>93</v>
      </c>
      <c r="C51" s="22">
        <v>1</v>
      </c>
      <c r="D51" s="22">
        <v>4</v>
      </c>
      <c r="E51" s="23">
        <f>4407*C51</f>
        <v>4407</v>
      </c>
      <c r="F51" s="22"/>
      <c r="G51" s="23">
        <f>E51</f>
        <v>4407</v>
      </c>
      <c r="H51" s="23"/>
      <c r="I51" s="23"/>
      <c r="J51" s="40"/>
      <c r="K51" s="23"/>
      <c r="L51" s="23"/>
      <c r="M51" s="23"/>
      <c r="N51" s="23"/>
      <c r="O51" s="23">
        <f>G51*200%</f>
        <v>8814</v>
      </c>
      <c r="P51" s="23"/>
      <c r="Q51" s="23"/>
      <c r="R51" s="23">
        <f>O51+G51</f>
        <v>13221</v>
      </c>
      <c r="S51" s="25">
        <f t="shared" si="13"/>
        <v>79326</v>
      </c>
    </row>
    <row r="52" spans="1:20" s="42" customFormat="1" x14ac:dyDescent="0.25">
      <c r="A52" s="43" t="s">
        <v>94</v>
      </c>
      <c r="B52" s="21" t="s">
        <v>360</v>
      </c>
      <c r="C52" s="22">
        <v>1</v>
      </c>
      <c r="D52" s="22">
        <v>9</v>
      </c>
      <c r="E52" s="23">
        <f>6003*C52</f>
        <v>6003</v>
      </c>
      <c r="F52" s="23"/>
      <c r="G52" s="23">
        <f>E52+F52</f>
        <v>6003</v>
      </c>
      <c r="H52" s="23"/>
      <c r="I52" s="23"/>
      <c r="J52" s="23"/>
      <c r="K52" s="23"/>
      <c r="L52" s="23"/>
      <c r="M52" s="23"/>
      <c r="N52" s="23"/>
      <c r="O52" s="23"/>
      <c r="P52" s="23">
        <f>8647-G52</f>
        <v>2644</v>
      </c>
      <c r="Q52" s="32"/>
      <c r="R52" s="23">
        <f>G52+P52</f>
        <v>8647</v>
      </c>
      <c r="S52" s="25">
        <f t="shared" si="13"/>
        <v>51882</v>
      </c>
    </row>
    <row r="53" spans="1:20" s="42" customFormat="1" x14ac:dyDescent="0.25">
      <c r="A53" s="43" t="s">
        <v>94</v>
      </c>
      <c r="B53" s="21" t="s">
        <v>95</v>
      </c>
      <c r="C53" s="22">
        <v>1</v>
      </c>
      <c r="D53" s="22">
        <v>5</v>
      </c>
      <c r="E53" s="23">
        <f>4719*C53</f>
        <v>4719</v>
      </c>
      <c r="F53" s="23"/>
      <c r="G53" s="23">
        <f>E53+F53</f>
        <v>4719</v>
      </c>
      <c r="H53" s="23"/>
      <c r="I53" s="23"/>
      <c r="J53" s="23"/>
      <c r="K53" s="23"/>
      <c r="L53" s="23"/>
      <c r="M53" s="23"/>
      <c r="N53" s="23"/>
      <c r="O53" s="23"/>
      <c r="P53" s="23">
        <f>8647-G53</f>
        <v>3928</v>
      </c>
      <c r="Q53" s="32"/>
      <c r="R53" s="23">
        <f>G53+P53</f>
        <v>8647</v>
      </c>
      <c r="S53" s="25">
        <f t="shared" si="13"/>
        <v>51882</v>
      </c>
    </row>
    <row r="54" spans="1:20" x14ac:dyDescent="0.25">
      <c r="A54" s="43" t="s">
        <v>96</v>
      </c>
      <c r="B54" s="21" t="s">
        <v>97</v>
      </c>
      <c r="C54" s="22">
        <v>0.5</v>
      </c>
      <c r="D54" s="22">
        <v>9</v>
      </c>
      <c r="E54" s="23">
        <f>6003*C54</f>
        <v>3001.5</v>
      </c>
      <c r="F54" s="22"/>
      <c r="G54" s="23">
        <f t="shared" ref="G54" si="14">E54+F54</f>
        <v>3001.5</v>
      </c>
      <c r="H54" s="23"/>
      <c r="I54" s="23"/>
      <c r="J54" s="23"/>
      <c r="K54" s="23">
        <f>G54*0.3</f>
        <v>900.44999999999993</v>
      </c>
      <c r="L54" s="23">
        <f>6750-G54-K54</f>
        <v>2848.05</v>
      </c>
      <c r="M54" s="23"/>
      <c r="N54" s="23"/>
      <c r="O54" s="23"/>
      <c r="P54" s="23"/>
      <c r="Q54" s="23"/>
      <c r="R54" s="23">
        <f>L54+K54+G54</f>
        <v>6750</v>
      </c>
      <c r="S54" s="25">
        <f t="shared" si="13"/>
        <v>40500</v>
      </c>
    </row>
    <row r="55" spans="1:20" s="45" customFormat="1" ht="13.8" customHeight="1" thickBot="1" x14ac:dyDescent="0.25">
      <c r="A55" s="103"/>
      <c r="B55" s="104" t="s">
        <v>59</v>
      </c>
      <c r="C55" s="105">
        <f>SUM(C48:C54)</f>
        <v>8</v>
      </c>
      <c r="D55" s="105"/>
      <c r="E55" s="106">
        <f>SUM(E48:E54)</f>
        <v>45612</v>
      </c>
      <c r="F55" s="105"/>
      <c r="G55" s="106">
        <f>SUM(G48:G54)</f>
        <v>45612</v>
      </c>
      <c r="H55" s="106"/>
      <c r="I55" s="106"/>
      <c r="J55" s="106"/>
      <c r="K55" s="106">
        <f>SUM(K48:K54)</f>
        <v>3742.2</v>
      </c>
      <c r="L55" s="106">
        <f>SUM(L48:L54)</f>
        <v>41024.800000000003</v>
      </c>
      <c r="M55" s="106"/>
      <c r="N55" s="106"/>
      <c r="O55" s="106">
        <f>SUM(O48:O53)</f>
        <v>8814</v>
      </c>
      <c r="P55" s="106">
        <f>SUM(P48:P54)</f>
        <v>6572</v>
      </c>
      <c r="Q55" s="106"/>
      <c r="R55" s="106">
        <f>SUM(R48:R54)</f>
        <v>105765</v>
      </c>
      <c r="S55" s="107">
        <f>SUM(S48:S54)</f>
        <v>634590</v>
      </c>
    </row>
    <row r="56" spans="1:20" s="38" customFormat="1" ht="22.8" customHeight="1" x14ac:dyDescent="0.25">
      <c r="A56" s="108"/>
      <c r="B56" s="86" t="s">
        <v>98</v>
      </c>
      <c r="C56" s="85"/>
      <c r="D56" s="85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109"/>
      <c r="R56" s="94"/>
      <c r="S56" s="110"/>
      <c r="T56" s="46"/>
    </row>
    <row r="57" spans="1:20" s="38" customFormat="1" x14ac:dyDescent="0.25">
      <c r="A57" s="43" t="s">
        <v>99</v>
      </c>
      <c r="B57" s="21" t="s">
        <v>100</v>
      </c>
      <c r="C57" s="22">
        <v>0.25</v>
      </c>
      <c r="D57" s="22">
        <v>14</v>
      </c>
      <c r="E57" s="23">
        <f>8397*C57</f>
        <v>2099.25</v>
      </c>
      <c r="F57" s="23">
        <f>E57*10%</f>
        <v>209.92500000000001</v>
      </c>
      <c r="G57" s="23">
        <f>E57+F57</f>
        <v>2309.1750000000002</v>
      </c>
      <c r="H57" s="23"/>
      <c r="I57" s="23"/>
      <c r="J57" s="23"/>
      <c r="K57" s="23">
        <f>G57*0.3</f>
        <v>692.75250000000005</v>
      </c>
      <c r="L57" s="23">
        <f>20000*C57-G57-K57</f>
        <v>1998.0724999999998</v>
      </c>
      <c r="M57" s="23"/>
      <c r="N57" s="23"/>
      <c r="O57" s="23"/>
      <c r="P57" s="23"/>
      <c r="Q57" s="32"/>
      <c r="R57" s="23">
        <f>G57+K57+L57</f>
        <v>5000</v>
      </c>
      <c r="S57" s="25">
        <f>R57*6</f>
        <v>30000</v>
      </c>
      <c r="T57" s="46"/>
    </row>
    <row r="58" spans="1:20" s="38" customFormat="1" x14ac:dyDescent="0.25">
      <c r="A58" s="43" t="s">
        <v>101</v>
      </c>
      <c r="B58" s="21" t="s">
        <v>102</v>
      </c>
      <c r="C58" s="22">
        <v>0.5</v>
      </c>
      <c r="D58" s="22">
        <v>13</v>
      </c>
      <c r="E58" s="23">
        <f>7877*C58</f>
        <v>3938.5</v>
      </c>
      <c r="F58" s="23">
        <f>E58*0.15</f>
        <v>590.77499999999998</v>
      </c>
      <c r="G58" s="23">
        <f>E58+F58</f>
        <v>4529.2749999999996</v>
      </c>
      <c r="H58" s="23"/>
      <c r="I58" s="23"/>
      <c r="J58" s="23"/>
      <c r="K58" s="23">
        <f>G58*0.3</f>
        <v>1358.7824999999998</v>
      </c>
      <c r="L58" s="23">
        <f>20000*C58-G58-K58</f>
        <v>4111.942500000001</v>
      </c>
      <c r="M58" s="23"/>
      <c r="N58" s="23"/>
      <c r="O58" s="23"/>
      <c r="P58" s="23"/>
      <c r="Q58" s="32"/>
      <c r="R58" s="23">
        <f>G58+K58+L58</f>
        <v>10000</v>
      </c>
      <c r="S58" s="25">
        <f t="shared" ref="S58:S60" si="15">R58*6</f>
        <v>60000</v>
      </c>
      <c r="T58" s="46"/>
    </row>
    <row r="59" spans="1:20" s="38" customFormat="1" x14ac:dyDescent="0.25">
      <c r="A59" s="43" t="s">
        <v>103</v>
      </c>
      <c r="B59" s="21" t="s">
        <v>104</v>
      </c>
      <c r="C59" s="22">
        <v>0.5</v>
      </c>
      <c r="D59" s="22">
        <v>13</v>
      </c>
      <c r="E59" s="23">
        <f>7877*C59</f>
        <v>3938.5</v>
      </c>
      <c r="F59" s="23">
        <f>E59*0.15</f>
        <v>590.77499999999998</v>
      </c>
      <c r="G59" s="23">
        <f>E59+F59</f>
        <v>4529.2749999999996</v>
      </c>
      <c r="H59" s="23"/>
      <c r="I59" s="23"/>
      <c r="J59" s="23"/>
      <c r="K59" s="23">
        <f>G59*0.3</f>
        <v>1358.7824999999998</v>
      </c>
      <c r="L59" s="23">
        <f>10000-G59-K59</f>
        <v>4111.942500000001</v>
      </c>
      <c r="M59" s="23"/>
      <c r="N59" s="23"/>
      <c r="O59" s="23"/>
      <c r="P59" s="23"/>
      <c r="Q59" s="32"/>
      <c r="R59" s="23">
        <f>G59+K59+L59</f>
        <v>10000</v>
      </c>
      <c r="S59" s="25">
        <f t="shared" si="15"/>
        <v>60000</v>
      </c>
      <c r="T59" s="46"/>
    </row>
    <row r="60" spans="1:20" s="38" customFormat="1" x14ac:dyDescent="0.25">
      <c r="A60" s="43" t="s">
        <v>105</v>
      </c>
      <c r="B60" s="21" t="s">
        <v>106</v>
      </c>
      <c r="C60" s="22">
        <v>1</v>
      </c>
      <c r="D60" s="22">
        <v>5</v>
      </c>
      <c r="E60" s="23">
        <f>4719*C60</f>
        <v>4719</v>
      </c>
      <c r="F60" s="23"/>
      <c r="G60" s="23">
        <f>E60+F60</f>
        <v>4719</v>
      </c>
      <c r="H60" s="23"/>
      <c r="I60" s="23"/>
      <c r="J60" s="23"/>
      <c r="K60" s="23"/>
      <c r="L60" s="23"/>
      <c r="M60" s="23"/>
      <c r="N60" s="23"/>
      <c r="O60" s="23"/>
      <c r="P60" s="23">
        <f>8647-G60</f>
        <v>3928</v>
      </c>
      <c r="Q60" s="32"/>
      <c r="R60" s="23">
        <f>G60+P60</f>
        <v>8647</v>
      </c>
      <c r="S60" s="25">
        <f t="shared" si="15"/>
        <v>51882</v>
      </c>
      <c r="T60" s="46"/>
    </row>
    <row r="61" spans="1:20" s="49" customFormat="1" ht="20.399999999999999" customHeight="1" thickBot="1" x14ac:dyDescent="0.3">
      <c r="A61" s="64"/>
      <c r="B61" s="47" t="s">
        <v>59</v>
      </c>
      <c r="C61" s="34">
        <v>2.25</v>
      </c>
      <c r="D61" s="34"/>
      <c r="E61" s="35">
        <f>SUM(E57:E60)</f>
        <v>14695.25</v>
      </c>
      <c r="F61" s="35">
        <f t="shared" ref="F61" si="16">SUM(F57:F60)</f>
        <v>1391.4749999999999</v>
      </c>
      <c r="G61" s="35">
        <f>SUM(G57:G60)</f>
        <v>16086.724999999999</v>
      </c>
      <c r="H61" s="35"/>
      <c r="I61" s="35"/>
      <c r="J61" s="35"/>
      <c r="K61" s="35">
        <f t="shared" ref="K61:L61" si="17">SUM(K57:K60)</f>
        <v>3410.3174999999997</v>
      </c>
      <c r="L61" s="35">
        <f t="shared" si="17"/>
        <v>10221.957500000002</v>
      </c>
      <c r="M61" s="35"/>
      <c r="N61" s="35"/>
      <c r="O61" s="35"/>
      <c r="P61" s="35">
        <f t="shared" ref="P61:Q61" si="18">SUM(P57:P60)</f>
        <v>3928</v>
      </c>
      <c r="Q61" s="35">
        <f t="shared" si="18"/>
        <v>0</v>
      </c>
      <c r="R61" s="35">
        <f>SUM(G61:Q61)</f>
        <v>33647</v>
      </c>
      <c r="S61" s="36">
        <f>SUM(S57:S60)</f>
        <v>201882</v>
      </c>
      <c r="T61" s="48"/>
    </row>
    <row r="62" spans="1:20" ht="24" customHeight="1" x14ac:dyDescent="0.25">
      <c r="A62" s="18"/>
      <c r="B62" s="86" t="s">
        <v>107</v>
      </c>
      <c r="C62" s="86"/>
      <c r="D62" s="86"/>
      <c r="E62" s="92"/>
      <c r="F62" s="86"/>
      <c r="G62" s="94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3"/>
    </row>
    <row r="63" spans="1:20" s="13" customFormat="1" ht="38.4" customHeight="1" x14ac:dyDescent="0.2">
      <c r="A63" s="28"/>
      <c r="B63" s="29" t="s">
        <v>108</v>
      </c>
      <c r="C63" s="22"/>
      <c r="D63" s="22"/>
      <c r="E63" s="23"/>
      <c r="F63" s="22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5"/>
    </row>
    <row r="64" spans="1:20" ht="13.95" customHeight="1" x14ac:dyDescent="0.25">
      <c r="A64" s="20" t="s">
        <v>109</v>
      </c>
      <c r="B64" s="21" t="s">
        <v>110</v>
      </c>
      <c r="C64" s="22">
        <v>1</v>
      </c>
      <c r="D64" s="22">
        <v>11</v>
      </c>
      <c r="E64" s="23">
        <f>6836*C64</f>
        <v>6836</v>
      </c>
      <c r="F64" s="22">
        <f>E64*0.25</f>
        <v>1709</v>
      </c>
      <c r="G64" s="23">
        <f t="shared" ref="G64:G125" si="19">E64+F64</f>
        <v>8545</v>
      </c>
      <c r="H64" s="23"/>
      <c r="I64" s="23"/>
      <c r="J64" s="23"/>
      <c r="K64" s="23">
        <f>G64*0.3</f>
        <v>2563.5</v>
      </c>
      <c r="L64" s="41">
        <f>20000-G64-K64</f>
        <v>8891.5</v>
      </c>
      <c r="M64" s="23"/>
      <c r="N64" s="23"/>
      <c r="O64" s="23"/>
      <c r="P64" s="23"/>
      <c r="Q64" s="23"/>
      <c r="R64" s="23">
        <f t="shared" ref="R64:R75" si="20">G64+K64+L64</f>
        <v>20000</v>
      </c>
      <c r="S64" s="25">
        <f>R64*6</f>
        <v>120000</v>
      </c>
    </row>
    <row r="65" spans="1:20" x14ac:dyDescent="0.25">
      <c r="A65" s="20" t="s">
        <v>111</v>
      </c>
      <c r="B65" s="21" t="s">
        <v>112</v>
      </c>
      <c r="C65" s="22">
        <v>1.25</v>
      </c>
      <c r="D65" s="22">
        <v>12</v>
      </c>
      <c r="E65" s="23">
        <f>7356*C65</f>
        <v>9195</v>
      </c>
      <c r="F65" s="22"/>
      <c r="G65" s="23">
        <f t="shared" si="19"/>
        <v>9195</v>
      </c>
      <c r="H65" s="23"/>
      <c r="I65" s="23"/>
      <c r="J65" s="23"/>
      <c r="K65" s="23">
        <f t="shared" ref="K65:K77" si="21">G65*0.3</f>
        <v>2758.5</v>
      </c>
      <c r="L65" s="23">
        <f>20000*C65-G65-K65</f>
        <v>13046.5</v>
      </c>
      <c r="M65" s="23"/>
      <c r="N65" s="23"/>
      <c r="O65" s="23"/>
      <c r="P65" s="23"/>
      <c r="Q65" s="23"/>
      <c r="R65" s="23">
        <f t="shared" si="20"/>
        <v>25000</v>
      </c>
      <c r="S65" s="25">
        <f t="shared" ref="S65:S80" si="22">R65*6</f>
        <v>150000</v>
      </c>
    </row>
    <row r="66" spans="1:20" x14ac:dyDescent="0.25">
      <c r="A66" s="20" t="s">
        <v>113</v>
      </c>
      <c r="B66" s="21" t="s">
        <v>114</v>
      </c>
      <c r="C66" s="22">
        <v>1</v>
      </c>
      <c r="D66" s="22">
        <v>14</v>
      </c>
      <c r="E66" s="23">
        <f>8397*C66</f>
        <v>8397</v>
      </c>
      <c r="F66" s="22"/>
      <c r="G66" s="23">
        <f t="shared" si="19"/>
        <v>8397</v>
      </c>
      <c r="H66" s="23"/>
      <c r="I66" s="23"/>
      <c r="J66" s="23"/>
      <c r="K66" s="23">
        <f t="shared" si="21"/>
        <v>2519.1</v>
      </c>
      <c r="L66" s="41">
        <f>20000-G66-K66</f>
        <v>9083.9</v>
      </c>
      <c r="M66" s="23"/>
      <c r="N66" s="23"/>
      <c r="O66" s="23"/>
      <c r="P66" s="23"/>
      <c r="Q66" s="23"/>
      <c r="R66" s="23">
        <f t="shared" si="20"/>
        <v>20000</v>
      </c>
      <c r="S66" s="25">
        <f t="shared" si="22"/>
        <v>120000</v>
      </c>
    </row>
    <row r="67" spans="1:20" x14ac:dyDescent="0.25">
      <c r="A67" s="20" t="s">
        <v>115</v>
      </c>
      <c r="B67" s="21" t="s">
        <v>116</v>
      </c>
      <c r="C67" s="22">
        <v>0.5</v>
      </c>
      <c r="D67" s="22">
        <v>14</v>
      </c>
      <c r="E67" s="23">
        <f>8397*C67</f>
        <v>4198.5</v>
      </c>
      <c r="F67" s="22"/>
      <c r="G67" s="23">
        <f t="shared" si="19"/>
        <v>4198.5</v>
      </c>
      <c r="H67" s="23"/>
      <c r="I67" s="23"/>
      <c r="J67" s="23"/>
      <c r="K67" s="23">
        <f t="shared" si="21"/>
        <v>1259.55</v>
      </c>
      <c r="L67" s="41">
        <f>20000/2-G67-K67</f>
        <v>4541.95</v>
      </c>
      <c r="M67" s="23"/>
      <c r="N67" s="23"/>
      <c r="O67" s="23"/>
      <c r="P67" s="23"/>
      <c r="Q67" s="23"/>
      <c r="R67" s="23">
        <f t="shared" si="20"/>
        <v>10000</v>
      </c>
      <c r="S67" s="25">
        <f t="shared" si="22"/>
        <v>60000</v>
      </c>
    </row>
    <row r="68" spans="1:20" x14ac:dyDescent="0.25">
      <c r="A68" s="20" t="s">
        <v>117</v>
      </c>
      <c r="B68" s="21" t="s">
        <v>118</v>
      </c>
      <c r="C68" s="22">
        <v>0.25</v>
      </c>
      <c r="D68" s="22">
        <v>14</v>
      </c>
      <c r="E68" s="23">
        <f>8397*C68</f>
        <v>2099.25</v>
      </c>
      <c r="F68" s="22"/>
      <c r="G68" s="23">
        <f t="shared" si="19"/>
        <v>2099.25</v>
      </c>
      <c r="H68" s="23"/>
      <c r="I68" s="23"/>
      <c r="J68" s="23"/>
      <c r="K68" s="23">
        <f t="shared" si="21"/>
        <v>629.77499999999998</v>
      </c>
      <c r="L68" s="41">
        <f>20000*C68-G68-K68</f>
        <v>2270.9749999999999</v>
      </c>
      <c r="M68" s="23"/>
      <c r="N68" s="23"/>
      <c r="O68" s="23"/>
      <c r="P68" s="23"/>
      <c r="Q68" s="23"/>
      <c r="R68" s="23">
        <f t="shared" si="20"/>
        <v>5000</v>
      </c>
      <c r="S68" s="25">
        <f t="shared" si="22"/>
        <v>30000</v>
      </c>
    </row>
    <row r="69" spans="1:20" x14ac:dyDescent="0.25">
      <c r="A69" s="20" t="s">
        <v>119</v>
      </c>
      <c r="B69" s="21" t="s">
        <v>120</v>
      </c>
      <c r="C69" s="22">
        <v>2.25</v>
      </c>
      <c r="D69" s="22">
        <v>13</v>
      </c>
      <c r="E69" s="23">
        <f>7877*C69</f>
        <v>17723.25</v>
      </c>
      <c r="F69" s="22"/>
      <c r="G69" s="23">
        <f t="shared" si="19"/>
        <v>17723.25</v>
      </c>
      <c r="H69" s="23"/>
      <c r="I69" s="23"/>
      <c r="J69" s="23"/>
      <c r="K69" s="23">
        <f t="shared" si="21"/>
        <v>5316.9749999999995</v>
      </c>
      <c r="L69" s="41">
        <f t="shared" ref="L69:L74" si="23">20000*C69-G69-K69-N69</f>
        <v>19981.665000000001</v>
      </c>
      <c r="M69" s="23"/>
      <c r="N69" s="23">
        <f>879.16*C69</f>
        <v>1978.11</v>
      </c>
      <c r="O69" s="23"/>
      <c r="P69" s="23"/>
      <c r="Q69" s="23"/>
      <c r="R69" s="23">
        <f t="shared" ref="R69:R74" si="24">G69+K69+L69+N69</f>
        <v>45000</v>
      </c>
      <c r="S69" s="25">
        <f t="shared" si="22"/>
        <v>270000</v>
      </c>
    </row>
    <row r="70" spans="1:20" ht="11.4" customHeight="1" x14ac:dyDescent="0.25">
      <c r="A70" s="20" t="s">
        <v>119</v>
      </c>
      <c r="B70" s="21" t="s">
        <v>121</v>
      </c>
      <c r="C70" s="22">
        <v>0.5</v>
      </c>
      <c r="D70" s="22">
        <v>14</v>
      </c>
      <c r="E70" s="23">
        <f>8397*C70</f>
        <v>4198.5</v>
      </c>
      <c r="F70" s="22"/>
      <c r="G70" s="23">
        <f t="shared" si="19"/>
        <v>4198.5</v>
      </c>
      <c r="H70" s="23"/>
      <c r="I70" s="23"/>
      <c r="J70" s="23"/>
      <c r="K70" s="23">
        <f t="shared" si="21"/>
        <v>1259.55</v>
      </c>
      <c r="L70" s="41">
        <f t="shared" si="23"/>
        <v>4073.35</v>
      </c>
      <c r="M70" s="23"/>
      <c r="N70" s="23">
        <v>468.6</v>
      </c>
      <c r="O70" s="23"/>
      <c r="P70" s="23"/>
      <c r="Q70" s="23"/>
      <c r="R70" s="23">
        <f t="shared" si="24"/>
        <v>10000</v>
      </c>
      <c r="S70" s="25">
        <f t="shared" si="22"/>
        <v>60000</v>
      </c>
    </row>
    <row r="71" spans="1:20" x14ac:dyDescent="0.25">
      <c r="A71" s="20" t="s">
        <v>119</v>
      </c>
      <c r="B71" s="21" t="s">
        <v>122</v>
      </c>
      <c r="C71" s="22">
        <v>0.25</v>
      </c>
      <c r="D71" s="22">
        <v>14</v>
      </c>
      <c r="E71" s="23">
        <f>8397*C71</f>
        <v>2099.25</v>
      </c>
      <c r="F71" s="22"/>
      <c r="G71" s="23">
        <f t="shared" si="19"/>
        <v>2099.25</v>
      </c>
      <c r="H71" s="23"/>
      <c r="I71" s="23"/>
      <c r="J71" s="23"/>
      <c r="K71" s="23">
        <f t="shared" si="21"/>
        <v>629.77499999999998</v>
      </c>
      <c r="L71" s="41">
        <f t="shared" si="23"/>
        <v>2036.675</v>
      </c>
      <c r="M71" s="23"/>
      <c r="N71" s="23">
        <v>234.3</v>
      </c>
      <c r="O71" s="23"/>
      <c r="P71" s="23"/>
      <c r="Q71" s="23"/>
      <c r="R71" s="23">
        <f t="shared" si="24"/>
        <v>5000</v>
      </c>
      <c r="S71" s="25">
        <f t="shared" si="22"/>
        <v>30000</v>
      </c>
    </row>
    <row r="72" spans="1:20" x14ac:dyDescent="0.25">
      <c r="A72" s="20" t="s">
        <v>119</v>
      </c>
      <c r="B72" s="21" t="s">
        <v>123</v>
      </c>
      <c r="C72" s="22">
        <v>0.75</v>
      </c>
      <c r="D72" s="22">
        <v>14</v>
      </c>
      <c r="E72" s="23">
        <f>8397*C72</f>
        <v>6297.75</v>
      </c>
      <c r="F72" s="22"/>
      <c r="G72" s="23">
        <f t="shared" si="19"/>
        <v>6297.75</v>
      </c>
      <c r="H72" s="23"/>
      <c r="I72" s="23"/>
      <c r="J72" s="23"/>
      <c r="K72" s="23">
        <f t="shared" si="21"/>
        <v>1889.3249999999998</v>
      </c>
      <c r="L72" s="41">
        <f t="shared" si="23"/>
        <v>6578.625</v>
      </c>
      <c r="M72" s="23"/>
      <c r="N72" s="23">
        <v>234.3</v>
      </c>
      <c r="O72" s="23"/>
      <c r="P72" s="23"/>
      <c r="Q72" s="23"/>
      <c r="R72" s="23">
        <f t="shared" si="24"/>
        <v>15000</v>
      </c>
      <c r="S72" s="25">
        <f t="shared" si="22"/>
        <v>90000</v>
      </c>
    </row>
    <row r="73" spans="1:20" x14ac:dyDescent="0.25">
      <c r="A73" s="20" t="s">
        <v>119</v>
      </c>
      <c r="B73" s="21" t="s">
        <v>124</v>
      </c>
      <c r="C73" s="22">
        <v>1</v>
      </c>
      <c r="D73" s="22">
        <v>14</v>
      </c>
      <c r="E73" s="23">
        <f>8397*C73</f>
        <v>8397</v>
      </c>
      <c r="F73" s="22"/>
      <c r="G73" s="23">
        <f t="shared" si="19"/>
        <v>8397</v>
      </c>
      <c r="H73" s="23"/>
      <c r="I73" s="23"/>
      <c r="J73" s="23"/>
      <c r="K73" s="23">
        <f t="shared" si="21"/>
        <v>2519.1</v>
      </c>
      <c r="L73" s="41">
        <f t="shared" si="23"/>
        <v>8146.7</v>
      </c>
      <c r="M73" s="23"/>
      <c r="N73" s="23">
        <v>937.2</v>
      </c>
      <c r="O73" s="23"/>
      <c r="P73" s="23"/>
      <c r="Q73" s="23"/>
      <c r="R73" s="23">
        <f t="shared" si="24"/>
        <v>20000</v>
      </c>
      <c r="S73" s="25">
        <f t="shared" si="22"/>
        <v>120000</v>
      </c>
    </row>
    <row r="74" spans="1:20" x14ac:dyDescent="0.25">
      <c r="A74" s="20" t="s">
        <v>119</v>
      </c>
      <c r="B74" s="21" t="s">
        <v>125</v>
      </c>
      <c r="C74" s="22">
        <v>0.5</v>
      </c>
      <c r="D74" s="22">
        <v>13</v>
      </c>
      <c r="E74" s="23">
        <f>7877*C74</f>
        <v>3938.5</v>
      </c>
      <c r="F74" s="22"/>
      <c r="G74" s="23">
        <f t="shared" si="19"/>
        <v>3938.5</v>
      </c>
      <c r="H74" s="23"/>
      <c r="I74" s="23"/>
      <c r="J74" s="23"/>
      <c r="K74" s="23">
        <f t="shared" si="21"/>
        <v>1181.55</v>
      </c>
      <c r="L74" s="41">
        <f t="shared" si="23"/>
        <v>4440.37</v>
      </c>
      <c r="M74" s="23"/>
      <c r="N74" s="23">
        <f>879.16*C74</f>
        <v>439.58</v>
      </c>
      <c r="O74" s="23"/>
      <c r="P74" s="23"/>
      <c r="Q74" s="23"/>
      <c r="R74" s="23">
        <f t="shared" si="24"/>
        <v>10000</v>
      </c>
      <c r="S74" s="25">
        <f t="shared" si="22"/>
        <v>60000</v>
      </c>
    </row>
    <row r="75" spans="1:20" x14ac:dyDescent="0.25">
      <c r="A75" s="20" t="s">
        <v>127</v>
      </c>
      <c r="B75" s="21" t="s">
        <v>128</v>
      </c>
      <c r="C75" s="22">
        <v>1</v>
      </c>
      <c r="D75" s="22">
        <v>9</v>
      </c>
      <c r="E75" s="23">
        <f>6003*C75</f>
        <v>6003</v>
      </c>
      <c r="F75" s="22">
        <f>E75*0.1</f>
        <v>600.30000000000007</v>
      </c>
      <c r="G75" s="23">
        <f t="shared" si="19"/>
        <v>6603.3</v>
      </c>
      <c r="H75" s="23"/>
      <c r="I75" s="23"/>
      <c r="J75" s="23"/>
      <c r="K75" s="23">
        <f t="shared" si="21"/>
        <v>1980.99</v>
      </c>
      <c r="L75" s="41">
        <v>5596.39</v>
      </c>
      <c r="M75" s="23"/>
      <c r="N75" s="23"/>
      <c r="O75" s="23"/>
      <c r="P75" s="23"/>
      <c r="Q75" s="23"/>
      <c r="R75" s="23">
        <f t="shared" si="20"/>
        <v>14180.68</v>
      </c>
      <c r="S75" s="25">
        <f t="shared" si="22"/>
        <v>85084.08</v>
      </c>
    </row>
    <row r="76" spans="1:20" x14ac:dyDescent="0.25">
      <c r="A76" s="20" t="s">
        <v>129</v>
      </c>
      <c r="B76" s="21" t="s">
        <v>130</v>
      </c>
      <c r="C76" s="22">
        <v>10</v>
      </c>
      <c r="D76" s="22">
        <v>9</v>
      </c>
      <c r="E76" s="23">
        <f>6003*C76</f>
        <v>60030</v>
      </c>
      <c r="F76" s="22"/>
      <c r="G76" s="23">
        <f t="shared" si="19"/>
        <v>60030</v>
      </c>
      <c r="H76" s="23"/>
      <c r="I76" s="23">
        <f t="shared" ref="I76:I78" si="25">G76*0.1</f>
        <v>6003</v>
      </c>
      <c r="J76" s="23"/>
      <c r="K76" s="23">
        <f t="shared" si="21"/>
        <v>18009</v>
      </c>
      <c r="L76" s="41">
        <f>13500*C76-G76-I76-K76-N76</f>
        <v>44258.6</v>
      </c>
      <c r="M76" s="23"/>
      <c r="N76" s="23">
        <f>669.94*C76</f>
        <v>6699.4000000000005</v>
      </c>
      <c r="O76" s="23"/>
      <c r="P76" s="23"/>
      <c r="Q76" s="23"/>
      <c r="R76" s="23">
        <f>G76+I76+K76+L76+N76</f>
        <v>135000</v>
      </c>
      <c r="S76" s="25">
        <f t="shared" si="22"/>
        <v>810000</v>
      </c>
    </row>
    <row r="77" spans="1:20" x14ac:dyDescent="0.25">
      <c r="A77" s="20" t="s">
        <v>131</v>
      </c>
      <c r="B77" s="21" t="s">
        <v>132</v>
      </c>
      <c r="C77" s="22">
        <v>1</v>
      </c>
      <c r="D77" s="22">
        <v>6</v>
      </c>
      <c r="E77" s="23">
        <f>5032*C77</f>
        <v>5032</v>
      </c>
      <c r="F77" s="22"/>
      <c r="G77" s="23">
        <f t="shared" si="19"/>
        <v>5032</v>
      </c>
      <c r="H77" s="23"/>
      <c r="I77" s="23">
        <f t="shared" si="25"/>
        <v>503.20000000000005</v>
      </c>
      <c r="J77" s="23"/>
      <c r="K77" s="23">
        <f t="shared" si="21"/>
        <v>1509.6</v>
      </c>
      <c r="L77" s="41">
        <f t="shared" ref="L77" si="26">13500-G77-I77-K77</f>
        <v>6455.2000000000007</v>
      </c>
      <c r="M77" s="23"/>
      <c r="N77" s="23"/>
      <c r="O77" s="23"/>
      <c r="P77" s="23"/>
      <c r="Q77" s="23"/>
      <c r="R77" s="23">
        <f t="shared" ref="R77" si="27">G77+I77+K77+L77</f>
        <v>13500</v>
      </c>
      <c r="S77" s="25">
        <f t="shared" si="22"/>
        <v>81000</v>
      </c>
    </row>
    <row r="78" spans="1:20" x14ac:dyDescent="0.25">
      <c r="A78" s="20" t="s">
        <v>133</v>
      </c>
      <c r="B78" s="21" t="s">
        <v>134</v>
      </c>
      <c r="C78" s="22">
        <v>6</v>
      </c>
      <c r="D78" s="22">
        <v>4</v>
      </c>
      <c r="E78" s="23">
        <f>4407*C78</f>
        <v>26442</v>
      </c>
      <c r="F78" s="22"/>
      <c r="G78" s="23">
        <f t="shared" si="19"/>
        <v>26442</v>
      </c>
      <c r="H78" s="23"/>
      <c r="I78" s="23">
        <f t="shared" si="25"/>
        <v>2644.2000000000003</v>
      </c>
      <c r="J78" s="23"/>
      <c r="K78" s="23"/>
      <c r="L78" s="23"/>
      <c r="M78" s="23"/>
      <c r="N78" s="23">
        <f>475.33*C78</f>
        <v>2851.98</v>
      </c>
      <c r="O78" s="23"/>
      <c r="P78" s="23">
        <f>8647*C78-G78</f>
        <v>25440</v>
      </c>
      <c r="Q78" s="23"/>
      <c r="R78" s="23">
        <f>E78+I78+P78+N78</f>
        <v>57378.18</v>
      </c>
      <c r="S78" s="25">
        <f t="shared" si="22"/>
        <v>344269.08</v>
      </c>
    </row>
    <row r="79" spans="1:20" x14ac:dyDescent="0.25">
      <c r="A79" s="20" t="s">
        <v>135</v>
      </c>
      <c r="B79" s="21" t="s">
        <v>136</v>
      </c>
      <c r="C79" s="22">
        <v>1</v>
      </c>
      <c r="D79" s="22">
        <v>3</v>
      </c>
      <c r="E79" s="23">
        <f>4095*C79</f>
        <v>4095</v>
      </c>
      <c r="F79" s="22"/>
      <c r="G79" s="23">
        <f t="shared" si="19"/>
        <v>4095</v>
      </c>
      <c r="H79" s="23"/>
      <c r="I79" s="23"/>
      <c r="J79" s="23"/>
      <c r="K79" s="23"/>
      <c r="L79" s="23"/>
      <c r="M79" s="23"/>
      <c r="N79" s="23"/>
      <c r="O79" s="23"/>
      <c r="P79" s="23">
        <f>8647-G79</f>
        <v>4552</v>
      </c>
      <c r="Q79" s="23"/>
      <c r="R79" s="23">
        <f>G79+P79</f>
        <v>8647</v>
      </c>
      <c r="S79" s="25">
        <f t="shared" si="22"/>
        <v>51882</v>
      </c>
      <c r="T79" s="53"/>
    </row>
    <row r="80" spans="1:20" x14ac:dyDescent="0.25">
      <c r="A80" s="20" t="s">
        <v>137</v>
      </c>
      <c r="B80" s="21" t="s">
        <v>138</v>
      </c>
      <c r="C80" s="22">
        <v>1</v>
      </c>
      <c r="D80" s="22">
        <v>4</v>
      </c>
      <c r="E80" s="23">
        <f>4407*C80</f>
        <v>4407</v>
      </c>
      <c r="F80" s="22"/>
      <c r="G80" s="23">
        <f t="shared" si="19"/>
        <v>4407</v>
      </c>
      <c r="H80" s="23"/>
      <c r="I80" s="23"/>
      <c r="J80" s="23"/>
      <c r="K80" s="23"/>
      <c r="L80" s="23"/>
      <c r="M80" s="23"/>
      <c r="N80" s="23"/>
      <c r="O80" s="23"/>
      <c r="P80" s="23">
        <f>8647-G80</f>
        <v>4240</v>
      </c>
      <c r="Q80" s="23"/>
      <c r="R80" s="23">
        <f>G80+P80</f>
        <v>8647</v>
      </c>
      <c r="S80" s="25">
        <f t="shared" si="22"/>
        <v>51882</v>
      </c>
      <c r="T80" s="53"/>
    </row>
    <row r="81" spans="1:20" s="27" customFormat="1" ht="24.6" customHeight="1" thickBot="1" x14ac:dyDescent="0.3">
      <c r="A81" s="64"/>
      <c r="B81" s="47" t="s">
        <v>59</v>
      </c>
      <c r="C81" s="34">
        <f>SUM(C64:C80)</f>
        <v>29.25</v>
      </c>
      <c r="D81" s="34"/>
      <c r="E81" s="35">
        <f>SUM(E64:E80)</f>
        <v>179389</v>
      </c>
      <c r="F81" s="34">
        <f>SUM(F64:F80)</f>
        <v>2309.3000000000002</v>
      </c>
      <c r="G81" s="35">
        <f>SUM(G64:G80)</f>
        <v>181698.3</v>
      </c>
      <c r="H81" s="35"/>
      <c r="I81" s="35">
        <f>SUM(I64:I80)</f>
        <v>9150.4</v>
      </c>
      <c r="J81" s="35"/>
      <c r="K81" s="35">
        <f>SUM(K64:K80)</f>
        <v>44026.29</v>
      </c>
      <c r="L81" s="35">
        <f>SUM(L64:L80)</f>
        <v>139402.4</v>
      </c>
      <c r="M81" s="35"/>
      <c r="N81" s="35">
        <f>SUM(N69:N80)</f>
        <v>13843.470000000001</v>
      </c>
      <c r="O81" s="35"/>
      <c r="P81" s="35">
        <f>SUM(P64:P80)</f>
        <v>34232</v>
      </c>
      <c r="Q81" s="35"/>
      <c r="R81" s="35">
        <f>SUM(R64:R80)</f>
        <v>422352.86</v>
      </c>
      <c r="S81" s="36">
        <f>SUM(S64:S80)</f>
        <v>2534117.16</v>
      </c>
      <c r="T81" s="54"/>
    </row>
    <row r="82" spans="1:20" s="13" customFormat="1" ht="20.399999999999999" customHeight="1" x14ac:dyDescent="0.2">
      <c r="A82" s="18"/>
      <c r="B82" s="55" t="s">
        <v>139</v>
      </c>
      <c r="C82" s="85"/>
      <c r="D82" s="85"/>
      <c r="E82" s="94"/>
      <c r="F82" s="85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110"/>
      <c r="T82" s="52"/>
    </row>
    <row r="83" spans="1:20" s="13" customFormat="1" x14ac:dyDescent="0.25">
      <c r="A83" s="20" t="s">
        <v>140</v>
      </c>
      <c r="B83" s="21" t="s">
        <v>100</v>
      </c>
      <c r="C83" s="22">
        <v>1</v>
      </c>
      <c r="D83" s="22">
        <v>12</v>
      </c>
      <c r="E83" s="23">
        <f>7356*C83</f>
        <v>7356</v>
      </c>
      <c r="F83" s="22">
        <f>E83*0.25</f>
        <v>1839</v>
      </c>
      <c r="G83" s="23">
        <f t="shared" ref="G83:G109" si="28">E83+F83</f>
        <v>9195</v>
      </c>
      <c r="H83" s="23"/>
      <c r="I83" s="23"/>
      <c r="J83" s="23"/>
      <c r="K83" s="23">
        <f>G83*0.3</f>
        <v>2758.5</v>
      </c>
      <c r="L83" s="23">
        <f t="shared" ref="L83" si="29">20000-G83-K83</f>
        <v>8046.5</v>
      </c>
      <c r="M83" s="23"/>
      <c r="N83" s="23"/>
      <c r="O83" s="23"/>
      <c r="P83" s="23"/>
      <c r="Q83" s="23"/>
      <c r="R83" s="23">
        <f t="shared" ref="R83:R85" si="30">G83+K83+L83</f>
        <v>20000</v>
      </c>
      <c r="S83" s="25">
        <f>R83*6</f>
        <v>120000</v>
      </c>
      <c r="T83" s="52"/>
    </row>
    <row r="84" spans="1:20" s="13" customFormat="1" x14ac:dyDescent="0.25">
      <c r="A84" s="20" t="s">
        <v>141</v>
      </c>
      <c r="B84" s="21" t="s">
        <v>142</v>
      </c>
      <c r="C84" s="22">
        <v>1.5</v>
      </c>
      <c r="D84" s="22">
        <v>14</v>
      </c>
      <c r="E84" s="23">
        <f>8397*C84</f>
        <v>12595.5</v>
      </c>
      <c r="F84" s="22"/>
      <c r="G84" s="23">
        <f t="shared" si="28"/>
        <v>12595.5</v>
      </c>
      <c r="H84" s="23"/>
      <c r="I84" s="23"/>
      <c r="J84" s="23"/>
      <c r="K84" s="23">
        <f t="shared" ref="K84:K107" si="31">G84*0.3</f>
        <v>3778.6499999999996</v>
      </c>
      <c r="L84" s="23">
        <f>30000-G84-K84</f>
        <v>13625.85</v>
      </c>
      <c r="M84" s="23"/>
      <c r="N84" s="23"/>
      <c r="O84" s="23"/>
      <c r="P84" s="23"/>
      <c r="Q84" s="23"/>
      <c r="R84" s="23">
        <f t="shared" si="30"/>
        <v>30000</v>
      </c>
      <c r="S84" s="25">
        <f t="shared" ref="S84:S109" si="32">R84*6</f>
        <v>180000</v>
      </c>
      <c r="T84" s="52"/>
    </row>
    <row r="85" spans="1:20" s="13" customFormat="1" x14ac:dyDescent="0.25">
      <c r="A85" s="20" t="s">
        <v>143</v>
      </c>
      <c r="B85" s="21" t="s">
        <v>144</v>
      </c>
      <c r="C85" s="22">
        <v>1</v>
      </c>
      <c r="D85" s="22">
        <v>12</v>
      </c>
      <c r="E85" s="23">
        <f>7356*C85</f>
        <v>7356</v>
      </c>
      <c r="F85" s="23">
        <f>E85*0.15</f>
        <v>1103.3999999999999</v>
      </c>
      <c r="G85" s="23">
        <f t="shared" si="28"/>
        <v>8459.4</v>
      </c>
      <c r="H85" s="23"/>
      <c r="I85" s="23"/>
      <c r="J85" s="23"/>
      <c r="K85" s="23">
        <f t="shared" si="31"/>
        <v>2537.8199999999997</v>
      </c>
      <c r="L85" s="23">
        <f t="shared" ref="L85" si="33">20000-G85-K85</f>
        <v>9002.7800000000007</v>
      </c>
      <c r="M85" s="23"/>
      <c r="N85" s="23"/>
      <c r="O85" s="23"/>
      <c r="P85" s="23"/>
      <c r="Q85" s="23"/>
      <c r="R85" s="23">
        <f t="shared" si="30"/>
        <v>20000</v>
      </c>
      <c r="S85" s="25">
        <f t="shared" si="32"/>
        <v>120000</v>
      </c>
      <c r="T85" s="52"/>
    </row>
    <row r="86" spans="1:20" s="13" customFormat="1" x14ac:dyDescent="0.25">
      <c r="A86" s="20" t="s">
        <v>145</v>
      </c>
      <c r="B86" s="21" t="s">
        <v>146</v>
      </c>
      <c r="C86" s="22">
        <v>1</v>
      </c>
      <c r="D86" s="22">
        <v>11</v>
      </c>
      <c r="E86" s="23">
        <f>6836*C86</f>
        <v>6836</v>
      </c>
      <c r="F86" s="22"/>
      <c r="G86" s="23">
        <f t="shared" si="28"/>
        <v>6836</v>
      </c>
      <c r="H86" s="23"/>
      <c r="I86" s="23"/>
      <c r="J86" s="23"/>
      <c r="K86" s="23">
        <f t="shared" si="31"/>
        <v>2050.7999999999997</v>
      </c>
      <c r="L86" s="23">
        <f>20000-G86-K86</f>
        <v>11113.2</v>
      </c>
      <c r="M86" s="23"/>
      <c r="N86" s="23"/>
      <c r="O86" s="23"/>
      <c r="P86" s="23"/>
      <c r="Q86" s="23"/>
      <c r="R86" s="23">
        <f>G86+K86+L86</f>
        <v>20000</v>
      </c>
      <c r="S86" s="25">
        <f t="shared" si="32"/>
        <v>120000</v>
      </c>
      <c r="T86" s="52"/>
    </row>
    <row r="87" spans="1:20" s="13" customFormat="1" x14ac:dyDescent="0.25">
      <c r="A87" s="20" t="s">
        <v>147</v>
      </c>
      <c r="B87" s="21" t="s">
        <v>148</v>
      </c>
      <c r="C87" s="22">
        <v>1.5</v>
      </c>
      <c r="D87" s="22">
        <v>11</v>
      </c>
      <c r="E87" s="23">
        <f>6836*C87</f>
        <v>10254</v>
      </c>
      <c r="F87" s="22"/>
      <c r="G87" s="23">
        <f t="shared" si="28"/>
        <v>10254</v>
      </c>
      <c r="H87" s="23"/>
      <c r="I87" s="23"/>
      <c r="J87" s="23"/>
      <c r="K87" s="23">
        <f t="shared" si="31"/>
        <v>3076.2</v>
      </c>
      <c r="L87" s="23">
        <f>20000*C87-G87-K87</f>
        <v>16669.8</v>
      </c>
      <c r="M87" s="23"/>
      <c r="N87" s="23"/>
      <c r="O87" s="23"/>
      <c r="P87" s="23"/>
      <c r="Q87" s="23"/>
      <c r="R87" s="23">
        <f t="shared" ref="R87:R101" si="34">G87+K87+L87</f>
        <v>30000</v>
      </c>
      <c r="S87" s="25">
        <f t="shared" si="32"/>
        <v>180000</v>
      </c>
      <c r="T87" s="52"/>
    </row>
    <row r="88" spans="1:20" s="13" customFormat="1" x14ac:dyDescent="0.25">
      <c r="A88" s="20" t="s">
        <v>149</v>
      </c>
      <c r="B88" s="21" t="s">
        <v>150</v>
      </c>
      <c r="C88" s="22">
        <v>0.75</v>
      </c>
      <c r="D88" s="22">
        <v>14</v>
      </c>
      <c r="E88" s="23">
        <f>8397*C88</f>
        <v>6297.75</v>
      </c>
      <c r="F88" s="22"/>
      <c r="G88" s="23">
        <f t="shared" si="28"/>
        <v>6297.75</v>
      </c>
      <c r="H88" s="23"/>
      <c r="I88" s="23"/>
      <c r="J88" s="23"/>
      <c r="K88" s="23">
        <f t="shared" si="31"/>
        <v>1889.3249999999998</v>
      </c>
      <c r="L88" s="23">
        <f>20000*C88-G88-K88</f>
        <v>6812.9250000000002</v>
      </c>
      <c r="M88" s="23"/>
      <c r="N88" s="23"/>
      <c r="O88" s="23"/>
      <c r="P88" s="23"/>
      <c r="Q88" s="23"/>
      <c r="R88" s="23">
        <f t="shared" si="34"/>
        <v>15000</v>
      </c>
      <c r="S88" s="25">
        <f t="shared" si="32"/>
        <v>90000</v>
      </c>
      <c r="T88" s="52"/>
    </row>
    <row r="89" spans="1:20" s="13" customFormat="1" x14ac:dyDescent="0.25">
      <c r="A89" s="20" t="s">
        <v>151</v>
      </c>
      <c r="B89" s="21" t="s">
        <v>104</v>
      </c>
      <c r="C89" s="22">
        <v>0.5</v>
      </c>
      <c r="D89" s="22">
        <v>11</v>
      </c>
      <c r="E89" s="23">
        <f>6836*C89</f>
        <v>3418</v>
      </c>
      <c r="F89" s="23">
        <f>E89*0.15</f>
        <v>512.69999999999993</v>
      </c>
      <c r="G89" s="23">
        <f t="shared" si="28"/>
        <v>3930.7</v>
      </c>
      <c r="H89" s="23"/>
      <c r="I89" s="23"/>
      <c r="J89" s="23"/>
      <c r="K89" s="23">
        <f t="shared" si="31"/>
        <v>1179.2099999999998</v>
      </c>
      <c r="L89" s="23">
        <f>20000/2-G89-K89</f>
        <v>4890.09</v>
      </c>
      <c r="M89" s="23"/>
      <c r="N89" s="23"/>
      <c r="O89" s="23"/>
      <c r="P89" s="23"/>
      <c r="Q89" s="23"/>
      <c r="R89" s="23">
        <f t="shared" si="34"/>
        <v>10000</v>
      </c>
      <c r="S89" s="25">
        <f t="shared" si="32"/>
        <v>60000</v>
      </c>
      <c r="T89" s="52"/>
    </row>
    <row r="90" spans="1:20" s="13" customFormat="1" x14ac:dyDescent="0.25">
      <c r="A90" s="20" t="s">
        <v>152</v>
      </c>
      <c r="B90" s="21" t="s">
        <v>153</v>
      </c>
      <c r="C90" s="22">
        <v>2</v>
      </c>
      <c r="D90" s="22">
        <v>14</v>
      </c>
      <c r="E90" s="23">
        <f>8397*C90</f>
        <v>16794</v>
      </c>
      <c r="F90" s="23">
        <f>E90*0.15</f>
        <v>2519.1</v>
      </c>
      <c r="G90" s="23">
        <f t="shared" si="28"/>
        <v>19313.099999999999</v>
      </c>
      <c r="H90" s="23"/>
      <c r="I90" s="23"/>
      <c r="J90" s="23"/>
      <c r="K90" s="23">
        <f t="shared" si="31"/>
        <v>5793.9299999999994</v>
      </c>
      <c r="L90" s="23">
        <f>20000*C90-G90-K90</f>
        <v>14892.970000000001</v>
      </c>
      <c r="M90" s="23"/>
      <c r="N90" s="23"/>
      <c r="O90" s="23"/>
      <c r="P90" s="23"/>
      <c r="Q90" s="23"/>
      <c r="R90" s="23">
        <f t="shared" si="34"/>
        <v>40000</v>
      </c>
      <c r="S90" s="25">
        <f t="shared" si="32"/>
        <v>240000</v>
      </c>
      <c r="T90" s="52"/>
    </row>
    <row r="91" spans="1:20" s="13" customFormat="1" x14ac:dyDescent="0.25">
      <c r="A91" s="20" t="s">
        <v>154</v>
      </c>
      <c r="B91" s="21" t="s">
        <v>155</v>
      </c>
      <c r="C91" s="22">
        <v>0.75</v>
      </c>
      <c r="D91" s="22">
        <v>13</v>
      </c>
      <c r="E91" s="23">
        <f>7877*C91</f>
        <v>5907.75</v>
      </c>
      <c r="F91" s="22"/>
      <c r="G91" s="23">
        <f t="shared" si="28"/>
        <v>5907.75</v>
      </c>
      <c r="H91" s="23"/>
      <c r="I91" s="23"/>
      <c r="J91" s="23"/>
      <c r="K91" s="23">
        <f t="shared" si="31"/>
        <v>1772.325</v>
      </c>
      <c r="L91" s="23">
        <f>20000*C91-G91-K91</f>
        <v>7319.9250000000002</v>
      </c>
      <c r="M91" s="23"/>
      <c r="N91" s="23"/>
      <c r="O91" s="23"/>
      <c r="P91" s="23"/>
      <c r="Q91" s="23"/>
      <c r="R91" s="23">
        <f t="shared" si="34"/>
        <v>15000</v>
      </c>
      <c r="S91" s="25">
        <f t="shared" si="32"/>
        <v>90000</v>
      </c>
      <c r="T91" s="52"/>
    </row>
    <row r="92" spans="1:20" s="14" customFormat="1" x14ac:dyDescent="0.25">
      <c r="A92" s="137" t="s">
        <v>156</v>
      </c>
      <c r="B92" s="21" t="s">
        <v>339</v>
      </c>
      <c r="C92" s="22">
        <v>0.5</v>
      </c>
      <c r="D92" s="22">
        <v>11</v>
      </c>
      <c r="E92" s="23">
        <f>6836*C92</f>
        <v>3418</v>
      </c>
      <c r="F92" s="23"/>
      <c r="G92" s="23">
        <f t="shared" si="28"/>
        <v>3418</v>
      </c>
      <c r="H92" s="23"/>
      <c r="I92" s="23"/>
      <c r="J92" s="23"/>
      <c r="K92" s="23">
        <f t="shared" si="31"/>
        <v>1025.3999999999999</v>
      </c>
      <c r="L92" s="23">
        <f>20000*C92-G92-K92</f>
        <v>5556.6</v>
      </c>
      <c r="M92" s="23"/>
      <c r="N92" s="23"/>
      <c r="O92" s="23"/>
      <c r="P92" s="23"/>
      <c r="Q92" s="23"/>
      <c r="R92" s="23">
        <f>G92+K92+L92</f>
        <v>10000</v>
      </c>
      <c r="S92" s="25">
        <f t="shared" si="32"/>
        <v>60000</v>
      </c>
      <c r="T92" s="138"/>
    </row>
    <row r="93" spans="1:20" s="13" customFormat="1" x14ac:dyDescent="0.25">
      <c r="A93" s="20" t="s">
        <v>119</v>
      </c>
      <c r="B93" s="21" t="s">
        <v>158</v>
      </c>
      <c r="C93" s="22">
        <v>0.25</v>
      </c>
      <c r="D93" s="22">
        <v>14</v>
      </c>
      <c r="E93" s="23">
        <f>8397*C93</f>
        <v>2099.25</v>
      </c>
      <c r="F93" s="22"/>
      <c r="G93" s="23">
        <f>E93+F93</f>
        <v>2099.25</v>
      </c>
      <c r="H93" s="23"/>
      <c r="I93" s="23"/>
      <c r="J93" s="23"/>
      <c r="K93" s="23">
        <f t="shared" si="31"/>
        <v>629.77499999999998</v>
      </c>
      <c r="L93" s="23">
        <f>20000*C93-G93-K93</f>
        <v>2270.9749999999999</v>
      </c>
      <c r="M93" s="23"/>
      <c r="N93" s="23"/>
      <c r="O93" s="23"/>
      <c r="P93" s="23"/>
      <c r="Q93" s="23"/>
      <c r="R93" s="23">
        <f>G93+K93+L93</f>
        <v>5000</v>
      </c>
      <c r="S93" s="25">
        <f t="shared" si="32"/>
        <v>30000</v>
      </c>
      <c r="T93" s="52"/>
    </row>
    <row r="94" spans="1:20" s="13" customFormat="1" x14ac:dyDescent="0.25">
      <c r="A94" s="20" t="s">
        <v>159</v>
      </c>
      <c r="B94" s="21" t="s">
        <v>160</v>
      </c>
      <c r="C94" s="22">
        <v>0.5</v>
      </c>
      <c r="D94" s="22">
        <v>14</v>
      </c>
      <c r="E94" s="23">
        <f>8397*C94</f>
        <v>4198.5</v>
      </c>
      <c r="F94" s="22"/>
      <c r="G94" s="23">
        <f t="shared" si="28"/>
        <v>4198.5</v>
      </c>
      <c r="H94" s="23"/>
      <c r="I94" s="23"/>
      <c r="J94" s="23"/>
      <c r="K94" s="23">
        <f t="shared" si="31"/>
        <v>1259.55</v>
      </c>
      <c r="L94" s="23">
        <f>20000/2-G94-K94</f>
        <v>4541.95</v>
      </c>
      <c r="M94" s="23"/>
      <c r="N94" s="23"/>
      <c r="O94" s="23"/>
      <c r="P94" s="23"/>
      <c r="Q94" s="23"/>
      <c r="R94" s="23">
        <f t="shared" si="34"/>
        <v>10000</v>
      </c>
      <c r="S94" s="25">
        <f t="shared" si="32"/>
        <v>60000</v>
      </c>
      <c r="T94" s="52"/>
    </row>
    <row r="95" spans="1:20" s="56" customFormat="1" x14ac:dyDescent="0.25">
      <c r="A95" s="20" t="s">
        <v>163</v>
      </c>
      <c r="B95" s="21" t="s">
        <v>164</v>
      </c>
      <c r="C95" s="22">
        <v>0.25</v>
      </c>
      <c r="D95" s="22">
        <v>14</v>
      </c>
      <c r="E95" s="23">
        <f>8397*C95</f>
        <v>2099.25</v>
      </c>
      <c r="F95" s="22"/>
      <c r="G95" s="23">
        <f t="shared" si="28"/>
        <v>2099.25</v>
      </c>
      <c r="H95" s="23"/>
      <c r="I95" s="23"/>
      <c r="J95" s="23"/>
      <c r="K95" s="23">
        <f t="shared" si="31"/>
        <v>629.77499999999998</v>
      </c>
      <c r="L95" s="23">
        <f>20000*C95-G95-K95</f>
        <v>2270.9749999999999</v>
      </c>
      <c r="M95" s="23"/>
      <c r="N95" s="23"/>
      <c r="O95" s="23"/>
      <c r="P95" s="23"/>
      <c r="Q95" s="23"/>
      <c r="R95" s="23">
        <f t="shared" si="34"/>
        <v>5000</v>
      </c>
      <c r="S95" s="25">
        <f t="shared" si="32"/>
        <v>30000</v>
      </c>
    </row>
    <row r="96" spans="1:20" s="56" customFormat="1" x14ac:dyDescent="0.25">
      <c r="A96" s="20" t="s">
        <v>163</v>
      </c>
      <c r="B96" s="21" t="s">
        <v>332</v>
      </c>
      <c r="C96" s="22">
        <v>0.5</v>
      </c>
      <c r="D96" s="22">
        <v>14</v>
      </c>
      <c r="E96" s="23">
        <f>8397*C96</f>
        <v>4198.5</v>
      </c>
      <c r="F96" s="22"/>
      <c r="G96" s="23">
        <f t="shared" si="28"/>
        <v>4198.5</v>
      </c>
      <c r="H96" s="23"/>
      <c r="I96" s="23"/>
      <c r="J96" s="23"/>
      <c r="K96" s="23">
        <f t="shared" si="31"/>
        <v>1259.55</v>
      </c>
      <c r="L96" s="23">
        <f>20000/2-G96-K96</f>
        <v>4541.95</v>
      </c>
      <c r="M96" s="23"/>
      <c r="N96" s="23"/>
      <c r="O96" s="23"/>
      <c r="P96" s="23"/>
      <c r="Q96" s="23"/>
      <c r="R96" s="23">
        <f t="shared" si="34"/>
        <v>10000</v>
      </c>
      <c r="S96" s="25">
        <f t="shared" si="32"/>
        <v>60000</v>
      </c>
    </row>
    <row r="97" spans="1:20" s="13" customFormat="1" x14ac:dyDescent="0.25">
      <c r="A97" s="20" t="s">
        <v>165</v>
      </c>
      <c r="B97" s="21" t="s">
        <v>166</v>
      </c>
      <c r="C97" s="22">
        <v>1.5</v>
      </c>
      <c r="D97" s="22">
        <v>14</v>
      </c>
      <c r="E97" s="23">
        <f>8397*C97</f>
        <v>12595.5</v>
      </c>
      <c r="F97" s="22"/>
      <c r="G97" s="23">
        <f t="shared" si="28"/>
        <v>12595.5</v>
      </c>
      <c r="H97" s="23"/>
      <c r="I97" s="23"/>
      <c r="J97" s="23"/>
      <c r="K97" s="23">
        <f t="shared" si="31"/>
        <v>3778.6499999999996</v>
      </c>
      <c r="L97" s="23">
        <f>20000*1.5-G97-K97</f>
        <v>13625.85</v>
      </c>
      <c r="M97" s="23"/>
      <c r="N97" s="23"/>
      <c r="O97" s="23"/>
      <c r="P97" s="23"/>
      <c r="Q97" s="23"/>
      <c r="R97" s="23">
        <f t="shared" si="34"/>
        <v>30000</v>
      </c>
      <c r="S97" s="25">
        <f t="shared" si="32"/>
        <v>180000</v>
      </c>
      <c r="T97" s="52"/>
    </row>
    <row r="98" spans="1:20" x14ac:dyDescent="0.25">
      <c r="A98" s="20" t="s">
        <v>167</v>
      </c>
      <c r="B98" s="21" t="s">
        <v>112</v>
      </c>
      <c r="C98" s="22">
        <v>0.75</v>
      </c>
      <c r="D98" s="22">
        <v>10</v>
      </c>
      <c r="E98" s="23">
        <f>6315*C98</f>
        <v>4736.25</v>
      </c>
      <c r="F98" s="22"/>
      <c r="G98" s="23">
        <f t="shared" si="28"/>
        <v>4736.25</v>
      </c>
      <c r="H98" s="23"/>
      <c r="I98" s="23"/>
      <c r="J98" s="23"/>
      <c r="K98" s="23">
        <f t="shared" si="31"/>
        <v>1420.875</v>
      </c>
      <c r="L98" s="23">
        <f>20000*C98-G98-K98</f>
        <v>8842.875</v>
      </c>
      <c r="M98" s="23"/>
      <c r="N98" s="23"/>
      <c r="O98" s="23"/>
      <c r="P98" s="23"/>
      <c r="Q98" s="23"/>
      <c r="R98" s="23">
        <f t="shared" si="34"/>
        <v>15000</v>
      </c>
      <c r="S98" s="25">
        <f t="shared" si="32"/>
        <v>90000</v>
      </c>
      <c r="T98" s="53"/>
    </row>
    <row r="99" spans="1:20" s="13" customFormat="1" x14ac:dyDescent="0.25">
      <c r="A99" s="20" t="s">
        <v>168</v>
      </c>
      <c r="B99" s="21" t="s">
        <v>169</v>
      </c>
      <c r="C99" s="22">
        <v>1.5</v>
      </c>
      <c r="D99" s="22">
        <v>14</v>
      </c>
      <c r="E99" s="23">
        <f>8397*C99</f>
        <v>12595.5</v>
      </c>
      <c r="F99" s="22"/>
      <c r="G99" s="23">
        <f t="shared" si="28"/>
        <v>12595.5</v>
      </c>
      <c r="H99" s="23"/>
      <c r="I99" s="23"/>
      <c r="J99" s="23"/>
      <c r="K99" s="23">
        <f t="shared" si="31"/>
        <v>3778.6499999999996</v>
      </c>
      <c r="L99" s="23">
        <f>20000*C99-G99-K99</f>
        <v>13625.85</v>
      </c>
      <c r="M99" s="23"/>
      <c r="N99" s="23"/>
      <c r="O99" s="23"/>
      <c r="P99" s="23"/>
      <c r="Q99" s="23"/>
      <c r="R99" s="23">
        <f t="shared" si="34"/>
        <v>30000</v>
      </c>
      <c r="S99" s="25">
        <f t="shared" si="32"/>
        <v>180000</v>
      </c>
      <c r="T99" s="52"/>
    </row>
    <row r="100" spans="1:20" x14ac:dyDescent="0.25">
      <c r="A100" s="20" t="s">
        <v>170</v>
      </c>
      <c r="B100" s="21" t="s">
        <v>171</v>
      </c>
      <c r="C100" s="22">
        <v>0.5</v>
      </c>
      <c r="D100" s="22">
        <v>13</v>
      </c>
      <c r="E100" s="23">
        <f>7877*C100</f>
        <v>3938.5</v>
      </c>
      <c r="F100" s="22"/>
      <c r="G100" s="23">
        <f t="shared" si="28"/>
        <v>3938.5</v>
      </c>
      <c r="H100" s="23"/>
      <c r="I100" s="23"/>
      <c r="J100" s="23"/>
      <c r="K100" s="23">
        <f t="shared" si="31"/>
        <v>1181.55</v>
      </c>
      <c r="L100" s="23">
        <f>20000/2-G100-K100</f>
        <v>4879.95</v>
      </c>
      <c r="M100" s="23"/>
      <c r="N100" s="23"/>
      <c r="O100" s="23"/>
      <c r="P100" s="23"/>
      <c r="Q100" s="23"/>
      <c r="R100" s="23">
        <f t="shared" si="34"/>
        <v>10000</v>
      </c>
      <c r="S100" s="25">
        <f t="shared" si="32"/>
        <v>60000</v>
      </c>
      <c r="T100" s="53"/>
    </row>
    <row r="101" spans="1:20" s="14" customFormat="1" x14ac:dyDescent="0.25">
      <c r="A101" s="137" t="s">
        <v>172</v>
      </c>
      <c r="B101" s="21" t="s">
        <v>173</v>
      </c>
      <c r="C101" s="22">
        <v>0.25</v>
      </c>
      <c r="D101" s="22">
        <v>14</v>
      </c>
      <c r="E101" s="23">
        <f>8397*C101</f>
        <v>2099.25</v>
      </c>
      <c r="F101" s="22"/>
      <c r="G101" s="23">
        <f t="shared" si="28"/>
        <v>2099.25</v>
      </c>
      <c r="H101" s="23"/>
      <c r="I101" s="23"/>
      <c r="J101" s="23"/>
      <c r="K101" s="23">
        <f t="shared" si="31"/>
        <v>629.77499999999998</v>
      </c>
      <c r="L101" s="23">
        <f>20000/4-G101-K101</f>
        <v>2270.9749999999999</v>
      </c>
      <c r="M101" s="23"/>
      <c r="N101" s="23"/>
      <c r="O101" s="23"/>
      <c r="P101" s="23"/>
      <c r="Q101" s="23"/>
      <c r="R101" s="23">
        <f t="shared" si="34"/>
        <v>5000</v>
      </c>
      <c r="S101" s="25">
        <f t="shared" si="32"/>
        <v>30000</v>
      </c>
      <c r="T101" s="138"/>
    </row>
    <row r="102" spans="1:20" x14ac:dyDescent="0.25">
      <c r="A102" s="20" t="s">
        <v>174</v>
      </c>
      <c r="B102" s="21" t="s">
        <v>128</v>
      </c>
      <c r="C102" s="22">
        <v>0.5</v>
      </c>
      <c r="D102" s="22">
        <v>9</v>
      </c>
      <c r="E102" s="23">
        <f>6003*C102</f>
        <v>3001.5</v>
      </c>
      <c r="F102" s="22"/>
      <c r="G102" s="23">
        <f t="shared" si="28"/>
        <v>3001.5</v>
      </c>
      <c r="H102" s="23"/>
      <c r="I102" s="23"/>
      <c r="J102" s="23"/>
      <c r="K102" s="23">
        <f t="shared" si="31"/>
        <v>900.44999999999993</v>
      </c>
      <c r="L102" s="23">
        <f>13500*C102-G102-K102</f>
        <v>2848.05</v>
      </c>
      <c r="M102" s="23"/>
      <c r="N102" s="23"/>
      <c r="O102" s="23"/>
      <c r="P102" s="23"/>
      <c r="Q102" s="23"/>
      <c r="R102" s="23">
        <f>G102+K102+L102</f>
        <v>6750</v>
      </c>
      <c r="S102" s="25">
        <f t="shared" si="32"/>
        <v>40500</v>
      </c>
      <c r="T102" s="53"/>
    </row>
    <row r="103" spans="1:20" x14ac:dyDescent="0.25">
      <c r="A103" s="20" t="s">
        <v>175</v>
      </c>
      <c r="B103" s="21" t="s">
        <v>176</v>
      </c>
      <c r="C103" s="22">
        <v>1</v>
      </c>
      <c r="D103" s="22">
        <v>9</v>
      </c>
      <c r="E103" s="23">
        <f>6003*C103</f>
        <v>6003</v>
      </c>
      <c r="F103" s="22">
        <f>E103*0.15</f>
        <v>900.44999999999993</v>
      </c>
      <c r="G103" s="23">
        <f t="shared" si="28"/>
        <v>6903.45</v>
      </c>
      <c r="H103" s="23"/>
      <c r="I103" s="23"/>
      <c r="J103" s="23"/>
      <c r="K103" s="23">
        <f t="shared" si="31"/>
        <v>2071.0349999999999</v>
      </c>
      <c r="L103" s="23">
        <f>13500-G103-K103</f>
        <v>4525.5150000000003</v>
      </c>
      <c r="M103" s="23"/>
      <c r="N103" s="23"/>
      <c r="O103" s="23"/>
      <c r="P103" s="23"/>
      <c r="Q103" s="23"/>
      <c r="R103" s="23">
        <f>G103+K103+L103</f>
        <v>13500</v>
      </c>
      <c r="S103" s="25">
        <f t="shared" si="32"/>
        <v>81000</v>
      </c>
      <c r="T103" s="53"/>
    </row>
    <row r="104" spans="1:20" x14ac:dyDescent="0.25">
      <c r="A104" s="20" t="s">
        <v>177</v>
      </c>
      <c r="B104" s="21" t="s">
        <v>178</v>
      </c>
      <c r="C104" s="22">
        <v>1.5</v>
      </c>
      <c r="D104" s="22">
        <v>7</v>
      </c>
      <c r="E104" s="23">
        <f>5344*C104</f>
        <v>8016</v>
      </c>
      <c r="F104" s="22"/>
      <c r="G104" s="23">
        <f t="shared" si="28"/>
        <v>8016</v>
      </c>
      <c r="H104" s="23"/>
      <c r="I104" s="23">
        <f>G104*0.1</f>
        <v>801.6</v>
      </c>
      <c r="J104" s="23"/>
      <c r="K104" s="23">
        <f t="shared" si="31"/>
        <v>2404.7999999999997</v>
      </c>
      <c r="L104" s="23">
        <f>13500*1.5-G104-I104-K104</f>
        <v>9027.6</v>
      </c>
      <c r="M104" s="23"/>
      <c r="N104" s="23"/>
      <c r="O104" s="23"/>
      <c r="P104" s="23"/>
      <c r="Q104" s="23"/>
      <c r="R104" s="23">
        <f>G104+I104+K104+L104</f>
        <v>20250</v>
      </c>
      <c r="S104" s="25">
        <f t="shared" si="32"/>
        <v>121500</v>
      </c>
      <c r="T104" s="53"/>
    </row>
    <row r="105" spans="1:20" x14ac:dyDescent="0.25">
      <c r="A105" s="20" t="s">
        <v>179</v>
      </c>
      <c r="B105" s="21" t="s">
        <v>91</v>
      </c>
      <c r="C105" s="22">
        <v>5</v>
      </c>
      <c r="D105" s="22">
        <v>9</v>
      </c>
      <c r="E105" s="23">
        <f>6003*C105</f>
        <v>30015</v>
      </c>
      <c r="F105" s="22"/>
      <c r="G105" s="23">
        <f t="shared" si="28"/>
        <v>30015</v>
      </c>
      <c r="H105" s="23"/>
      <c r="I105" s="23"/>
      <c r="J105" s="23"/>
      <c r="K105" s="23">
        <f t="shared" si="31"/>
        <v>9004.5</v>
      </c>
      <c r="L105" s="23">
        <f>13500*C105-G105-K105</f>
        <v>28480.5</v>
      </c>
      <c r="M105" s="23"/>
      <c r="N105" s="23"/>
      <c r="O105" s="23"/>
      <c r="P105" s="23"/>
      <c r="Q105" s="23"/>
      <c r="R105" s="23">
        <f t="shared" ref="R105" si="35">G105+K105+L105</f>
        <v>67500</v>
      </c>
      <c r="S105" s="25">
        <f t="shared" si="32"/>
        <v>405000</v>
      </c>
      <c r="T105" s="53"/>
    </row>
    <row r="106" spans="1:20" x14ac:dyDescent="0.25">
      <c r="A106" s="20" t="s">
        <v>181</v>
      </c>
      <c r="B106" s="21" t="s">
        <v>180</v>
      </c>
      <c r="C106" s="22">
        <v>2</v>
      </c>
      <c r="D106" s="22">
        <v>9</v>
      </c>
      <c r="E106" s="23">
        <f>6003*C106</f>
        <v>12006</v>
      </c>
      <c r="F106" s="22"/>
      <c r="G106" s="23">
        <f t="shared" si="28"/>
        <v>12006</v>
      </c>
      <c r="H106" s="23"/>
      <c r="I106" s="23">
        <f>G106*0.1</f>
        <v>1200.6000000000001</v>
      </c>
      <c r="J106" s="23"/>
      <c r="K106" s="23">
        <f t="shared" si="31"/>
        <v>3601.7999999999997</v>
      </c>
      <c r="L106" s="23">
        <f>13500-G106-K106-I106</f>
        <v>-3308.3999999999996</v>
      </c>
      <c r="M106" s="23"/>
      <c r="N106" s="23"/>
      <c r="O106" s="23"/>
      <c r="P106" s="23"/>
      <c r="Q106" s="23"/>
      <c r="R106" s="23">
        <f>G106+K106+L106+I106</f>
        <v>13500</v>
      </c>
      <c r="S106" s="25">
        <f t="shared" si="32"/>
        <v>81000</v>
      </c>
      <c r="T106" s="53"/>
    </row>
    <row r="107" spans="1:20" x14ac:dyDescent="0.25">
      <c r="A107" s="20" t="s">
        <v>183</v>
      </c>
      <c r="B107" s="21" t="s">
        <v>182</v>
      </c>
      <c r="C107" s="22">
        <v>2</v>
      </c>
      <c r="D107" s="22">
        <v>9</v>
      </c>
      <c r="E107" s="23">
        <f>6003*C107</f>
        <v>12006</v>
      </c>
      <c r="F107" s="22">
        <f>E107*0.15</f>
        <v>1800.8999999999999</v>
      </c>
      <c r="G107" s="23">
        <f t="shared" si="28"/>
        <v>13806.9</v>
      </c>
      <c r="H107" s="23"/>
      <c r="I107" s="23"/>
      <c r="J107" s="23"/>
      <c r="K107" s="23">
        <f t="shared" si="31"/>
        <v>4142.07</v>
      </c>
      <c r="L107" s="23">
        <f>13500*C107-G107-K107</f>
        <v>9051.0300000000007</v>
      </c>
      <c r="M107" s="23"/>
      <c r="N107" s="23"/>
      <c r="O107" s="23"/>
      <c r="P107" s="23"/>
      <c r="Q107" s="23"/>
      <c r="R107" s="23">
        <f t="shared" ref="R107" si="36">G107+K107+L107</f>
        <v>27000</v>
      </c>
      <c r="S107" s="25">
        <f t="shared" si="32"/>
        <v>162000</v>
      </c>
      <c r="T107" s="53"/>
    </row>
    <row r="108" spans="1:20" s="38" customFormat="1" x14ac:dyDescent="0.25">
      <c r="A108" s="20" t="s">
        <v>185</v>
      </c>
      <c r="B108" s="21" t="s">
        <v>184</v>
      </c>
      <c r="C108" s="22">
        <v>0.5</v>
      </c>
      <c r="D108" s="22">
        <v>4</v>
      </c>
      <c r="E108" s="23">
        <f>4407*C108</f>
        <v>2203.5</v>
      </c>
      <c r="F108" s="22"/>
      <c r="G108" s="23">
        <f>E108+F108</f>
        <v>2203.5</v>
      </c>
      <c r="H108" s="23"/>
      <c r="I108" s="23"/>
      <c r="J108" s="23"/>
      <c r="K108" s="23"/>
      <c r="L108" s="23"/>
      <c r="M108" s="23"/>
      <c r="N108" s="23"/>
      <c r="O108" s="23"/>
      <c r="P108" s="23">
        <f>8647/2-G108</f>
        <v>2120</v>
      </c>
      <c r="Q108" s="23"/>
      <c r="R108" s="23">
        <f>G108+I108+P108</f>
        <v>4323.5</v>
      </c>
      <c r="S108" s="25">
        <f t="shared" si="32"/>
        <v>25941</v>
      </c>
      <c r="T108" s="46"/>
    </row>
    <row r="109" spans="1:20" x14ac:dyDescent="0.25">
      <c r="A109" s="20" t="s">
        <v>188</v>
      </c>
      <c r="B109" s="21" t="s">
        <v>134</v>
      </c>
      <c r="C109" s="22">
        <v>5</v>
      </c>
      <c r="D109" s="22">
        <v>3</v>
      </c>
      <c r="E109" s="23">
        <f>4095*C109</f>
        <v>20475</v>
      </c>
      <c r="F109" s="22"/>
      <c r="G109" s="23">
        <f t="shared" si="28"/>
        <v>20475</v>
      </c>
      <c r="H109" s="23"/>
      <c r="I109" s="23">
        <f>G109*0.1</f>
        <v>2047.5</v>
      </c>
      <c r="J109" s="23"/>
      <c r="K109" s="23"/>
      <c r="L109" s="23"/>
      <c r="M109" s="23"/>
      <c r="N109" s="23"/>
      <c r="O109" s="23"/>
      <c r="P109" s="23">
        <f>8647*C109-G109</f>
        <v>22760</v>
      </c>
      <c r="Q109" s="23"/>
      <c r="R109" s="23">
        <f>G109+I109+P109</f>
        <v>45282.5</v>
      </c>
      <c r="S109" s="25">
        <f t="shared" si="32"/>
        <v>271695</v>
      </c>
      <c r="T109" s="53"/>
    </row>
    <row r="110" spans="1:20" s="27" customFormat="1" ht="23.4" customHeight="1" thickBot="1" x14ac:dyDescent="0.3">
      <c r="A110" s="112"/>
      <c r="B110" s="113" t="s">
        <v>59</v>
      </c>
      <c r="C110" s="114">
        <f>SUM(C83:C109)</f>
        <v>34</v>
      </c>
      <c r="D110" s="114"/>
      <c r="E110" s="115">
        <f>SUM(E83:E109)</f>
        <v>222519.5</v>
      </c>
      <c r="F110" s="115">
        <f>SUM(F83:F109)</f>
        <v>8675.5499999999993</v>
      </c>
      <c r="G110" s="115">
        <f>SUM(G83:G109)</f>
        <v>231195.05000000002</v>
      </c>
      <c r="H110" s="115"/>
      <c r="I110" s="115">
        <f>SUM(I83:I109)</f>
        <v>4049.7000000000003</v>
      </c>
      <c r="J110" s="115"/>
      <c r="K110" s="115">
        <f>SUM(K83:K109)</f>
        <v>62554.965000000004</v>
      </c>
      <c r="L110" s="115">
        <f>SUM(L83:L109)</f>
        <v>205426.28500000006</v>
      </c>
      <c r="M110" s="115"/>
      <c r="N110" s="115"/>
      <c r="O110" s="115"/>
      <c r="P110" s="115">
        <f>SUM(P108:P109)</f>
        <v>24880</v>
      </c>
      <c r="Q110" s="115"/>
      <c r="R110" s="115">
        <f>SUM(R83:R109)</f>
        <v>528106</v>
      </c>
      <c r="S110" s="116">
        <f>SUM(S83:S109)</f>
        <v>3168636</v>
      </c>
      <c r="T110" s="54"/>
    </row>
    <row r="111" spans="1:20" ht="16.2" customHeight="1" x14ac:dyDescent="0.25">
      <c r="A111" s="15"/>
      <c r="B111" s="86" t="s">
        <v>187</v>
      </c>
      <c r="C111" s="85"/>
      <c r="D111" s="85"/>
      <c r="E111" s="94"/>
      <c r="F111" s="85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  <c r="R111" s="94"/>
      <c r="S111" s="110"/>
      <c r="T111" s="53"/>
    </row>
    <row r="112" spans="1:20" x14ac:dyDescent="0.25">
      <c r="A112" s="20" t="s">
        <v>190</v>
      </c>
      <c r="B112" s="21" t="s">
        <v>189</v>
      </c>
      <c r="C112" s="22">
        <v>0.75</v>
      </c>
      <c r="D112" s="22">
        <v>10</v>
      </c>
      <c r="E112" s="23">
        <f>6315*C112</f>
        <v>4736.25</v>
      </c>
      <c r="F112" s="22">
        <f>E112*0.15</f>
        <v>710.4375</v>
      </c>
      <c r="G112" s="23">
        <f t="shared" ref="G112:G116" si="37">E112+F112</f>
        <v>5446.6875</v>
      </c>
      <c r="H112" s="23"/>
      <c r="I112" s="23">
        <f>G112*0.1</f>
        <v>544.66875000000005</v>
      </c>
      <c r="J112" s="23"/>
      <c r="K112" s="23">
        <f>G112*0.3</f>
        <v>1634.0062499999999</v>
      </c>
      <c r="L112" s="23">
        <f>20000*C112-G112-I112-K112</f>
        <v>7374.6374999999989</v>
      </c>
      <c r="M112" s="23"/>
      <c r="N112" s="23"/>
      <c r="O112" s="23"/>
      <c r="P112" s="23"/>
      <c r="Q112" s="23"/>
      <c r="R112" s="23">
        <f>G112+I112+K112+L112</f>
        <v>14999.999999999998</v>
      </c>
      <c r="S112" s="25">
        <f>R112*6</f>
        <v>89999.999999999985</v>
      </c>
      <c r="T112" s="53"/>
    </row>
    <row r="113" spans="1:20" x14ac:dyDescent="0.25">
      <c r="A113" s="20" t="s">
        <v>192</v>
      </c>
      <c r="B113" s="21" t="s">
        <v>191</v>
      </c>
      <c r="C113" s="22">
        <v>1</v>
      </c>
      <c r="D113" s="22">
        <v>9</v>
      </c>
      <c r="E113" s="23">
        <f>6003*C113</f>
        <v>6003</v>
      </c>
      <c r="F113" s="22">
        <f>E113*0.15</f>
        <v>900.44999999999993</v>
      </c>
      <c r="G113" s="23">
        <f t="shared" si="37"/>
        <v>6903.45</v>
      </c>
      <c r="H113" s="23"/>
      <c r="I113" s="23"/>
      <c r="J113" s="23"/>
      <c r="K113" s="23">
        <f t="shared" ref="K113:K114" si="38">G113*0.3</f>
        <v>2071.0349999999999</v>
      </c>
      <c r="L113" s="23">
        <f>20000-G113-K113</f>
        <v>11025.514999999999</v>
      </c>
      <c r="M113" s="23"/>
      <c r="N113" s="23"/>
      <c r="O113" s="23"/>
      <c r="P113" s="23"/>
      <c r="Q113" s="23"/>
      <c r="R113" s="23">
        <f>G113+I113+K113+L113</f>
        <v>20000</v>
      </c>
      <c r="S113" s="25">
        <f t="shared" ref="S113:S115" si="39">R113*6</f>
        <v>120000</v>
      </c>
      <c r="T113" s="53"/>
    </row>
    <row r="114" spans="1:20" x14ac:dyDescent="0.25">
      <c r="A114" s="20" t="s">
        <v>194</v>
      </c>
      <c r="B114" s="21" t="s">
        <v>193</v>
      </c>
      <c r="C114" s="22">
        <v>3</v>
      </c>
      <c r="D114" s="22">
        <v>10</v>
      </c>
      <c r="E114" s="23">
        <f>6315*C114</f>
        <v>18945</v>
      </c>
      <c r="F114" s="22">
        <f>E114*0.15</f>
        <v>2841.75</v>
      </c>
      <c r="G114" s="23">
        <f t="shared" si="37"/>
        <v>21786.75</v>
      </c>
      <c r="H114" s="23"/>
      <c r="I114" s="23">
        <f>G114*0.1</f>
        <v>2178.6750000000002</v>
      </c>
      <c r="J114" s="23"/>
      <c r="K114" s="23">
        <f t="shared" si="38"/>
        <v>6536.0249999999996</v>
      </c>
      <c r="L114" s="23">
        <f>13500*C114-G114-I114-K114</f>
        <v>9998.5500000000011</v>
      </c>
      <c r="M114" s="23"/>
      <c r="N114" s="23"/>
      <c r="O114" s="23"/>
      <c r="P114" s="23"/>
      <c r="Q114" s="23"/>
      <c r="R114" s="23">
        <f>G114+I114+K114+L114</f>
        <v>40500</v>
      </c>
      <c r="S114" s="25">
        <f t="shared" si="39"/>
        <v>243000</v>
      </c>
      <c r="T114" s="53"/>
    </row>
    <row r="115" spans="1:20" s="38" customFormat="1" x14ac:dyDescent="0.25">
      <c r="A115" s="20" t="s">
        <v>197</v>
      </c>
      <c r="B115" s="21" t="s">
        <v>186</v>
      </c>
      <c r="C115" s="22">
        <v>1</v>
      </c>
      <c r="D115" s="22">
        <v>3</v>
      </c>
      <c r="E115" s="23">
        <f>4095*C115</f>
        <v>4095</v>
      </c>
      <c r="F115" s="22">
        <f>E115*0.15</f>
        <v>614.25</v>
      </c>
      <c r="G115" s="23">
        <f t="shared" si="37"/>
        <v>4709.25</v>
      </c>
      <c r="H115" s="23"/>
      <c r="I115" s="23">
        <f>G115*0.1</f>
        <v>470.92500000000001</v>
      </c>
      <c r="J115" s="23"/>
      <c r="K115" s="23" t="s">
        <v>195</v>
      </c>
      <c r="L115" s="23"/>
      <c r="M115" s="23"/>
      <c r="N115" s="23"/>
      <c r="O115" s="23"/>
      <c r="P115" s="23">
        <f>8647*C115-E115</f>
        <v>4552</v>
      </c>
      <c r="Q115" s="23"/>
      <c r="R115" s="23">
        <f>G115+I115+P115</f>
        <v>9732.1749999999993</v>
      </c>
      <c r="S115" s="25">
        <f t="shared" si="39"/>
        <v>58393.049999999996</v>
      </c>
      <c r="T115" s="46"/>
    </row>
    <row r="116" spans="1:20" s="27" customFormat="1" ht="25.2" customHeight="1" x14ac:dyDescent="0.25">
      <c r="A116" s="112"/>
      <c r="B116" s="113" t="s">
        <v>59</v>
      </c>
      <c r="C116" s="114">
        <f>C112+C113+C114+C115</f>
        <v>5.75</v>
      </c>
      <c r="D116" s="114"/>
      <c r="E116" s="115">
        <f>SUM(E112:E115)</f>
        <v>33779.25</v>
      </c>
      <c r="F116" s="114">
        <f>SUM(F112:F115)</f>
        <v>5066.8874999999998</v>
      </c>
      <c r="G116" s="115">
        <f t="shared" si="37"/>
        <v>38846.137499999997</v>
      </c>
      <c r="H116" s="115"/>
      <c r="I116" s="115">
        <f>SUM(I112:I115)</f>
        <v>3194.2687500000002</v>
      </c>
      <c r="J116" s="115"/>
      <c r="K116" s="115">
        <f>SUM(K112:K115)</f>
        <v>10241.06625</v>
      </c>
      <c r="L116" s="115">
        <f>SUM(L112:L115)</f>
        <v>28398.702499999999</v>
      </c>
      <c r="M116" s="115"/>
      <c r="N116" s="115"/>
      <c r="O116" s="115"/>
      <c r="P116" s="115">
        <f>SUM(P112:P115)</f>
        <v>4552</v>
      </c>
      <c r="Q116" s="115"/>
      <c r="R116" s="115">
        <f>SUM(R112:R115)</f>
        <v>85232.175000000003</v>
      </c>
      <c r="S116" s="31">
        <f>SUM(S112:S115)</f>
        <v>511393.05</v>
      </c>
      <c r="T116" s="54"/>
    </row>
    <row r="117" spans="1:20" s="27" customFormat="1" ht="21.6" customHeight="1" x14ac:dyDescent="0.25">
      <c r="A117" s="125"/>
      <c r="B117" s="126" t="s">
        <v>326</v>
      </c>
      <c r="C117" s="126"/>
      <c r="D117" s="126"/>
      <c r="E117" s="127"/>
      <c r="F117" s="126"/>
      <c r="G117" s="127"/>
      <c r="H117" s="127"/>
      <c r="I117" s="127"/>
      <c r="J117" s="127"/>
      <c r="K117" s="127"/>
      <c r="L117" s="127"/>
      <c r="M117" s="127"/>
      <c r="N117" s="127"/>
      <c r="O117" s="127"/>
      <c r="P117" s="127"/>
      <c r="Q117" s="127"/>
      <c r="R117" s="127"/>
      <c r="S117" s="25"/>
      <c r="T117" s="54"/>
    </row>
    <row r="118" spans="1:20" s="27" customFormat="1" ht="15" customHeight="1" x14ac:dyDescent="0.25">
      <c r="A118" s="128" t="s">
        <v>198</v>
      </c>
      <c r="B118" s="129" t="s">
        <v>323</v>
      </c>
      <c r="C118" s="130">
        <v>0.25</v>
      </c>
      <c r="D118" s="130">
        <v>10</v>
      </c>
      <c r="E118" s="131">
        <f>6315*C118</f>
        <v>1578.75</v>
      </c>
      <c r="F118" s="130">
        <f>E118*0.15</f>
        <v>236.8125</v>
      </c>
      <c r="G118" s="131">
        <f>E118+F118</f>
        <v>1815.5625</v>
      </c>
      <c r="H118" s="131"/>
      <c r="I118" s="131">
        <f>G118*0.1</f>
        <v>181.55625000000001</v>
      </c>
      <c r="J118" s="131"/>
      <c r="K118" s="131">
        <f>G118*0.3</f>
        <v>544.66874999999993</v>
      </c>
      <c r="L118" s="131">
        <f>20000*C118-G118-I118-K118</f>
        <v>2458.2125000000001</v>
      </c>
      <c r="M118" s="131"/>
      <c r="N118" s="131"/>
      <c r="O118" s="131"/>
      <c r="P118" s="131"/>
      <c r="Q118" s="131"/>
      <c r="R118" s="131">
        <f>L118+K118+I118+G118</f>
        <v>5000</v>
      </c>
      <c r="S118" s="25">
        <f>R118*6</f>
        <v>30000</v>
      </c>
      <c r="T118" s="54"/>
    </row>
    <row r="119" spans="1:20" s="27" customFormat="1" ht="13.2" customHeight="1" x14ac:dyDescent="0.25">
      <c r="A119" s="128" t="s">
        <v>199</v>
      </c>
      <c r="B119" s="129" t="s">
        <v>324</v>
      </c>
      <c r="C119" s="130">
        <v>0.25</v>
      </c>
      <c r="D119" s="130">
        <v>10</v>
      </c>
      <c r="E119" s="131">
        <f>6315*C119</f>
        <v>1578.75</v>
      </c>
      <c r="F119" s="130">
        <f>E119*0.15</f>
        <v>236.8125</v>
      </c>
      <c r="G119" s="131">
        <f>E119+F119</f>
        <v>1815.5625</v>
      </c>
      <c r="H119" s="131"/>
      <c r="I119" s="131">
        <f>G119*0.1</f>
        <v>181.55625000000001</v>
      </c>
      <c r="J119" s="131"/>
      <c r="K119" s="131">
        <f>G119*0.3</f>
        <v>544.66874999999993</v>
      </c>
      <c r="L119" s="131">
        <f>20000*C119-G119-I119-K119</f>
        <v>2458.2125000000001</v>
      </c>
      <c r="M119" s="131"/>
      <c r="N119" s="131"/>
      <c r="O119" s="131"/>
      <c r="P119" s="131"/>
      <c r="Q119" s="131"/>
      <c r="R119" s="131">
        <f t="shared" ref="R119" si="40">L119+K119+I119+G119</f>
        <v>5000</v>
      </c>
      <c r="S119" s="25">
        <f>R119*6</f>
        <v>30000</v>
      </c>
      <c r="T119" s="54"/>
    </row>
    <row r="120" spans="1:20" s="27" customFormat="1" ht="21.6" customHeight="1" x14ac:dyDescent="0.25">
      <c r="A120" s="128"/>
      <c r="B120" s="132" t="s">
        <v>59</v>
      </c>
      <c r="C120" s="126">
        <v>0.5</v>
      </c>
      <c r="D120" s="126"/>
      <c r="E120" s="127">
        <f>SUM(E118:E119)</f>
        <v>3157.5</v>
      </c>
      <c r="F120" s="126">
        <f>SUM(F118:F119)</f>
        <v>473.625</v>
      </c>
      <c r="G120" s="127">
        <f>SUM(G118:G119)</f>
        <v>3631.125</v>
      </c>
      <c r="H120" s="127"/>
      <c r="I120" s="127">
        <f>SUM(I118:I119)</f>
        <v>363.11250000000001</v>
      </c>
      <c r="J120" s="127"/>
      <c r="K120" s="127">
        <f>SUM(K118:K119)</f>
        <v>1089.3374999999999</v>
      </c>
      <c r="L120" s="127">
        <f>SUM(L118:L119)</f>
        <v>4916.4250000000002</v>
      </c>
      <c r="M120" s="127"/>
      <c r="N120" s="127"/>
      <c r="O120" s="127"/>
      <c r="P120" s="127"/>
      <c r="Q120" s="127"/>
      <c r="R120" s="127">
        <f>SUM(R118:R119)</f>
        <v>10000</v>
      </c>
      <c r="S120" s="127">
        <f>SUM(S118:S119)</f>
        <v>60000</v>
      </c>
      <c r="T120" s="54"/>
    </row>
    <row r="121" spans="1:20" ht="23.4" customHeight="1" x14ac:dyDescent="0.25">
      <c r="A121" s="133"/>
      <c r="B121" s="29" t="s">
        <v>327</v>
      </c>
      <c r="C121" s="29"/>
      <c r="D121" s="29"/>
      <c r="E121" s="30"/>
      <c r="F121" s="29"/>
      <c r="G121" s="23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53"/>
    </row>
    <row r="122" spans="1:20" ht="14.4" customHeight="1" x14ac:dyDescent="0.25">
      <c r="A122" s="20" t="s">
        <v>198</v>
      </c>
      <c r="B122" s="21" t="s">
        <v>110</v>
      </c>
      <c r="C122" s="22">
        <v>0.25</v>
      </c>
      <c r="D122" s="22">
        <v>10</v>
      </c>
      <c r="E122" s="23">
        <f>6315*C122</f>
        <v>1578.75</v>
      </c>
      <c r="F122" s="22">
        <f t="shared" ref="F122:F125" si="41">E122*0.15</f>
        <v>236.8125</v>
      </c>
      <c r="G122" s="23">
        <f t="shared" si="19"/>
        <v>1815.5625</v>
      </c>
      <c r="H122" s="23"/>
      <c r="I122" s="23"/>
      <c r="J122" s="23"/>
      <c r="K122" s="23">
        <f>G122*0.3</f>
        <v>544.66874999999993</v>
      </c>
      <c r="L122" s="23">
        <f>20000*C122-G122-K122</f>
        <v>2639.7687500000002</v>
      </c>
      <c r="M122" s="23"/>
      <c r="N122" s="23"/>
      <c r="O122" s="23"/>
      <c r="P122" s="23"/>
      <c r="Q122" s="23"/>
      <c r="R122" s="23">
        <f t="shared" ref="R122:R123" si="42">G122+K122+L122</f>
        <v>5000</v>
      </c>
      <c r="S122" s="25">
        <f>R122*6</f>
        <v>30000</v>
      </c>
      <c r="T122" s="53"/>
    </row>
    <row r="123" spans="1:20" x14ac:dyDescent="0.25">
      <c r="A123" s="20" t="s">
        <v>199</v>
      </c>
      <c r="B123" s="21" t="s">
        <v>104</v>
      </c>
      <c r="C123" s="22">
        <v>0.25</v>
      </c>
      <c r="D123" s="22">
        <v>10</v>
      </c>
      <c r="E123" s="23">
        <f>6315*C123</f>
        <v>1578.75</v>
      </c>
      <c r="F123" s="22">
        <f t="shared" si="41"/>
        <v>236.8125</v>
      </c>
      <c r="G123" s="23">
        <f t="shared" si="19"/>
        <v>1815.5625</v>
      </c>
      <c r="H123" s="23"/>
      <c r="I123" s="23"/>
      <c r="J123" s="23"/>
      <c r="K123" s="23">
        <f t="shared" ref="K123:K124" si="43">G123*0.3</f>
        <v>544.66874999999993</v>
      </c>
      <c r="L123" s="23">
        <f>20000*C123-G123-K123</f>
        <v>2639.7687500000002</v>
      </c>
      <c r="M123" s="23"/>
      <c r="N123" s="23"/>
      <c r="O123" s="23"/>
      <c r="P123" s="23"/>
      <c r="Q123" s="23"/>
      <c r="R123" s="23">
        <f t="shared" si="42"/>
        <v>5000</v>
      </c>
      <c r="S123" s="25">
        <f t="shared" ref="S123:S125" si="44">R123*6</f>
        <v>30000</v>
      </c>
      <c r="T123" s="53"/>
    </row>
    <row r="124" spans="1:20" x14ac:dyDescent="0.25">
      <c r="A124" s="20" t="s">
        <v>200</v>
      </c>
      <c r="B124" s="21" t="s">
        <v>130</v>
      </c>
      <c r="C124" s="22">
        <v>3.5</v>
      </c>
      <c r="D124" s="22">
        <v>9</v>
      </c>
      <c r="E124" s="23">
        <f>6003*C124</f>
        <v>21010.5</v>
      </c>
      <c r="F124" s="22">
        <f t="shared" si="41"/>
        <v>3151.5749999999998</v>
      </c>
      <c r="G124" s="23">
        <f t="shared" si="19"/>
        <v>24162.075000000001</v>
      </c>
      <c r="H124" s="23"/>
      <c r="I124" s="23">
        <f t="shared" ref="I124:I125" si="45">G124*0.1</f>
        <v>2416.2075</v>
      </c>
      <c r="J124" s="23"/>
      <c r="K124" s="23">
        <f t="shared" si="43"/>
        <v>7248.6225000000004</v>
      </c>
      <c r="L124" s="23">
        <f>13500*C124-G124-K124-I124-N124</f>
        <v>11157.194999999998</v>
      </c>
      <c r="M124" s="23"/>
      <c r="N124" s="23">
        <f>647.4*C124</f>
        <v>2265.9</v>
      </c>
      <c r="O124" s="23"/>
      <c r="P124" s="23"/>
      <c r="Q124" s="23"/>
      <c r="R124" s="23">
        <f>G124+K124+L124+I124+N124</f>
        <v>47250</v>
      </c>
      <c r="S124" s="25">
        <f t="shared" si="44"/>
        <v>283500</v>
      </c>
      <c r="T124" s="53"/>
    </row>
    <row r="125" spans="1:20" s="13" customFormat="1" x14ac:dyDescent="0.2">
      <c r="A125" s="28" t="s">
        <v>202</v>
      </c>
      <c r="B125" s="21" t="s">
        <v>134</v>
      </c>
      <c r="C125" s="22">
        <v>2.5</v>
      </c>
      <c r="D125" s="22">
        <v>4</v>
      </c>
      <c r="E125" s="23">
        <f>4407*C125</f>
        <v>11017.5</v>
      </c>
      <c r="F125" s="22">
        <f t="shared" si="41"/>
        <v>1652.625</v>
      </c>
      <c r="G125" s="23">
        <f t="shared" si="19"/>
        <v>12670.125</v>
      </c>
      <c r="H125" s="23"/>
      <c r="I125" s="23">
        <f t="shared" si="45"/>
        <v>1267.0125</v>
      </c>
      <c r="J125" s="23"/>
      <c r="K125" s="23"/>
      <c r="L125" s="23"/>
      <c r="M125" s="23"/>
      <c r="N125" s="23">
        <f>475.33*C125</f>
        <v>1188.325</v>
      </c>
      <c r="O125" s="23"/>
      <c r="P125" s="23">
        <f>8647*C125-E125</f>
        <v>10600</v>
      </c>
      <c r="Q125" s="23"/>
      <c r="R125" s="23">
        <f>G125+I125+P125+N125</f>
        <v>25725.462500000001</v>
      </c>
      <c r="S125" s="25">
        <f t="shared" si="44"/>
        <v>154352.77500000002</v>
      </c>
      <c r="T125" s="52"/>
    </row>
    <row r="126" spans="1:20" s="27" customFormat="1" ht="21.6" customHeight="1" thickBot="1" x14ac:dyDescent="0.3">
      <c r="A126" s="64"/>
      <c r="B126" s="117" t="s">
        <v>59</v>
      </c>
      <c r="C126" s="34">
        <f>SUM(C122:C125)</f>
        <v>6.5</v>
      </c>
      <c r="D126" s="34"/>
      <c r="E126" s="35">
        <f>SUM(E122:E125)</f>
        <v>35185.5</v>
      </c>
      <c r="F126" s="34">
        <f>SUM(F122:F125)</f>
        <v>5277.8249999999998</v>
      </c>
      <c r="G126" s="35">
        <f>SUM(G122:G125)</f>
        <v>40463.324999999997</v>
      </c>
      <c r="H126" s="35"/>
      <c r="I126" s="35">
        <f>SUM(I122:I125)</f>
        <v>3683.2200000000003</v>
      </c>
      <c r="J126" s="35"/>
      <c r="K126" s="35">
        <f>SUM(K122:K125)</f>
        <v>8337.9600000000009</v>
      </c>
      <c r="L126" s="35">
        <f>SUM(L122:L125)</f>
        <v>16436.732499999998</v>
      </c>
      <c r="M126" s="35"/>
      <c r="N126" s="35">
        <f>SUM(N122:N125)</f>
        <v>3454.2250000000004</v>
      </c>
      <c r="O126" s="35"/>
      <c r="P126" s="35">
        <f>SUM(P122:P125)</f>
        <v>10600</v>
      </c>
      <c r="Q126" s="35"/>
      <c r="R126" s="35">
        <f>SUM(R122:R125)</f>
        <v>82975.462499999994</v>
      </c>
      <c r="S126" s="36">
        <f>SUM(S122:S125)</f>
        <v>497852.77500000002</v>
      </c>
      <c r="T126" s="54"/>
    </row>
    <row r="127" spans="1:20" s="56" customFormat="1" ht="27" customHeight="1" x14ac:dyDescent="0.25">
      <c r="A127" s="15"/>
      <c r="B127" s="86" t="s">
        <v>201</v>
      </c>
      <c r="C127" s="85"/>
      <c r="D127" s="85"/>
      <c r="E127" s="94"/>
      <c r="F127" s="85"/>
      <c r="G127" s="94"/>
      <c r="H127" s="94"/>
      <c r="I127" s="94"/>
      <c r="J127" s="94"/>
      <c r="K127" s="94"/>
      <c r="L127" s="94"/>
      <c r="M127" s="94"/>
      <c r="N127" s="94"/>
      <c r="O127" s="94"/>
      <c r="P127" s="94"/>
      <c r="Q127" s="94"/>
      <c r="R127" s="94"/>
      <c r="S127" s="110"/>
      <c r="T127" s="58"/>
    </row>
    <row r="128" spans="1:20" s="13" customFormat="1" x14ac:dyDescent="0.25">
      <c r="A128" s="20" t="s">
        <v>203</v>
      </c>
      <c r="B128" s="59" t="s">
        <v>100</v>
      </c>
      <c r="C128" s="22">
        <v>1</v>
      </c>
      <c r="D128" s="22">
        <v>13</v>
      </c>
      <c r="E128" s="23">
        <f>7877*C128</f>
        <v>7877</v>
      </c>
      <c r="F128" s="22">
        <f>E128*0.2</f>
        <v>1575.4</v>
      </c>
      <c r="G128" s="23">
        <f t="shared" ref="G128:G129" si="46">E128+F128</f>
        <v>9452.4</v>
      </c>
      <c r="H128" s="23"/>
      <c r="I128" s="23"/>
      <c r="J128" s="23"/>
      <c r="K128" s="23">
        <f t="shared" ref="K128:K129" si="47">G128*0.3</f>
        <v>2835.72</v>
      </c>
      <c r="L128" s="23">
        <f t="shared" ref="L128" si="48">20000-G128-K128</f>
        <v>7711.880000000001</v>
      </c>
      <c r="M128" s="23"/>
      <c r="N128" s="23"/>
      <c r="O128" s="23"/>
      <c r="P128" s="23"/>
      <c r="Q128" s="23"/>
      <c r="R128" s="23">
        <f>G128+K128+L128+O128</f>
        <v>20000</v>
      </c>
      <c r="S128" s="25">
        <f>R128*6</f>
        <v>120000</v>
      </c>
      <c r="T128" s="52"/>
    </row>
    <row r="129" spans="1:20" s="38" customFormat="1" x14ac:dyDescent="0.25">
      <c r="A129" s="57" t="s">
        <v>205</v>
      </c>
      <c r="B129" s="21" t="s">
        <v>128</v>
      </c>
      <c r="C129" s="22">
        <v>1</v>
      </c>
      <c r="D129" s="22">
        <v>10</v>
      </c>
      <c r="E129" s="23">
        <f>6315*C129</f>
        <v>6315</v>
      </c>
      <c r="F129" s="22">
        <f>E129*0.1</f>
        <v>631.5</v>
      </c>
      <c r="G129" s="23">
        <f t="shared" si="46"/>
        <v>6946.5</v>
      </c>
      <c r="H129" s="23"/>
      <c r="I129" s="23"/>
      <c r="J129" s="23"/>
      <c r="K129" s="23">
        <f t="shared" si="47"/>
        <v>2083.9499999999998</v>
      </c>
      <c r="L129" s="23">
        <f>13500-G129-K129</f>
        <v>4469.55</v>
      </c>
      <c r="M129" s="23"/>
      <c r="N129" s="23"/>
      <c r="O129" s="23"/>
      <c r="P129" s="23"/>
      <c r="Q129" s="23"/>
      <c r="R129" s="23">
        <f>G129+K129+L129</f>
        <v>13500</v>
      </c>
      <c r="S129" s="25">
        <f>R129*6</f>
        <v>81000</v>
      </c>
      <c r="T129" s="46"/>
    </row>
    <row r="130" spans="1:20" x14ac:dyDescent="0.25">
      <c r="A130" s="28"/>
      <c r="B130" s="50"/>
      <c r="C130" s="60"/>
      <c r="D130" s="60"/>
      <c r="E130" s="61"/>
      <c r="F130" s="60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25">
        <f t="shared" ref="S130:S131" si="49">R130*9</f>
        <v>0</v>
      </c>
      <c r="T130" s="53"/>
    </row>
    <row r="131" spans="1:20" ht="21" customHeight="1" x14ac:dyDescent="0.25">
      <c r="A131" s="20"/>
      <c r="B131" s="63" t="s">
        <v>204</v>
      </c>
      <c r="C131" s="29"/>
      <c r="D131" s="29"/>
      <c r="E131" s="30"/>
      <c r="F131" s="29"/>
      <c r="G131" s="23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25">
        <f t="shared" si="49"/>
        <v>0</v>
      </c>
      <c r="T131" s="53"/>
    </row>
    <row r="132" spans="1:20" ht="11.4" customHeight="1" x14ac:dyDescent="0.25">
      <c r="A132" s="20" t="s">
        <v>207</v>
      </c>
      <c r="B132" s="21" t="s">
        <v>206</v>
      </c>
      <c r="C132" s="22">
        <v>4.5</v>
      </c>
      <c r="D132" s="22">
        <v>14</v>
      </c>
      <c r="E132" s="23">
        <f>8397*C132</f>
        <v>37786.5</v>
      </c>
      <c r="F132" s="22"/>
      <c r="G132" s="23">
        <f t="shared" ref="G132:G138" si="50">E132+F132</f>
        <v>37786.5</v>
      </c>
      <c r="H132" s="23"/>
      <c r="I132" s="23"/>
      <c r="J132" s="23"/>
      <c r="K132" s="23">
        <f t="shared" ref="K132" si="51">G132*0.3</f>
        <v>11335.949999999999</v>
      </c>
      <c r="L132" s="23">
        <f>20000*C132-G132-K132</f>
        <v>40877.550000000003</v>
      </c>
      <c r="M132" s="23"/>
      <c r="N132" s="23"/>
      <c r="O132" s="23"/>
      <c r="P132" s="23"/>
      <c r="Q132" s="23"/>
      <c r="R132" s="23">
        <f>G132+K132+L132+O132</f>
        <v>90000</v>
      </c>
      <c r="S132" s="25">
        <f>R132*6</f>
        <v>540000</v>
      </c>
    </row>
    <row r="133" spans="1:20" x14ac:dyDescent="0.25">
      <c r="A133" s="20" t="s">
        <v>209</v>
      </c>
      <c r="B133" s="21" t="s">
        <v>208</v>
      </c>
      <c r="C133" s="22">
        <v>1</v>
      </c>
      <c r="D133" s="22">
        <v>13</v>
      </c>
      <c r="E133" s="23">
        <f>7877*C133</f>
        <v>7877</v>
      </c>
      <c r="F133" s="22"/>
      <c r="G133" s="23">
        <f t="shared" si="50"/>
        <v>7877</v>
      </c>
      <c r="H133" s="23"/>
      <c r="I133" s="23"/>
      <c r="J133" s="23"/>
      <c r="K133" s="23">
        <f>G133*0.3</f>
        <v>2363.1</v>
      </c>
      <c r="L133" s="23">
        <f>20000-G133-K133</f>
        <v>9759.9</v>
      </c>
      <c r="M133" s="23"/>
      <c r="N133" s="23"/>
      <c r="O133" s="23"/>
      <c r="P133" s="23"/>
      <c r="Q133" s="23"/>
      <c r="R133" s="23">
        <f>G133+K133+L133+O133</f>
        <v>20000</v>
      </c>
      <c r="S133" s="25">
        <f t="shared" ref="S133:S138" si="52">R133*6</f>
        <v>120000</v>
      </c>
    </row>
    <row r="134" spans="1:20" s="13" customFormat="1" x14ac:dyDescent="0.25">
      <c r="A134" s="20" t="s">
        <v>210</v>
      </c>
      <c r="B134" s="21" t="s">
        <v>112</v>
      </c>
      <c r="C134" s="22">
        <v>1</v>
      </c>
      <c r="D134" s="22">
        <v>12</v>
      </c>
      <c r="E134" s="23">
        <f>7356*C134</f>
        <v>7356</v>
      </c>
      <c r="F134" s="22"/>
      <c r="G134" s="23">
        <f t="shared" si="50"/>
        <v>7356</v>
      </c>
      <c r="H134" s="23"/>
      <c r="I134" s="23"/>
      <c r="J134" s="23"/>
      <c r="K134" s="23">
        <f t="shared" ref="K134:K136" si="53">G134*0.3</f>
        <v>2206.7999999999997</v>
      </c>
      <c r="L134" s="23">
        <f t="shared" ref="L134" si="54">20000-G134-K134</f>
        <v>10437.200000000001</v>
      </c>
      <c r="M134" s="23"/>
      <c r="N134" s="23"/>
      <c r="O134" s="23"/>
      <c r="P134" s="23"/>
      <c r="Q134" s="23"/>
      <c r="R134" s="23">
        <f>G134+K134+L134+O134</f>
        <v>20000</v>
      </c>
      <c r="S134" s="25">
        <f t="shared" si="52"/>
        <v>120000</v>
      </c>
    </row>
    <row r="135" spans="1:20" x14ac:dyDescent="0.25">
      <c r="A135" s="20" t="s">
        <v>213</v>
      </c>
      <c r="B135" s="21" t="s">
        <v>211</v>
      </c>
      <c r="C135" s="22">
        <v>5</v>
      </c>
      <c r="D135" s="22">
        <v>10</v>
      </c>
      <c r="E135" s="23">
        <f>6315*C135</f>
        <v>31575</v>
      </c>
      <c r="F135" s="22"/>
      <c r="G135" s="23">
        <f t="shared" si="50"/>
        <v>31575</v>
      </c>
      <c r="H135" s="23"/>
      <c r="I135" s="23">
        <f>G135*0.1</f>
        <v>3157.5</v>
      </c>
      <c r="J135" s="23"/>
      <c r="K135" s="23">
        <f t="shared" si="53"/>
        <v>9472.5</v>
      </c>
      <c r="L135" s="23">
        <f>13500*C135-G135-I135-K135</f>
        <v>23295</v>
      </c>
      <c r="M135" s="23"/>
      <c r="N135" s="23"/>
      <c r="O135" s="23"/>
      <c r="P135" s="23"/>
      <c r="Q135" s="23"/>
      <c r="R135" s="23">
        <f>G135+I135+K135+L135</f>
        <v>67500</v>
      </c>
      <c r="S135" s="25">
        <f t="shared" si="52"/>
        <v>405000</v>
      </c>
      <c r="T135" s="53"/>
    </row>
    <row r="136" spans="1:20" s="13" customFormat="1" x14ac:dyDescent="0.25">
      <c r="A136" s="20" t="s">
        <v>214</v>
      </c>
      <c r="B136" s="21" t="s">
        <v>91</v>
      </c>
      <c r="C136" s="22">
        <v>1</v>
      </c>
      <c r="D136" s="22">
        <v>10</v>
      </c>
      <c r="E136" s="23">
        <f>6315*C136</f>
        <v>6315</v>
      </c>
      <c r="F136" s="22"/>
      <c r="G136" s="23">
        <f t="shared" si="50"/>
        <v>6315</v>
      </c>
      <c r="H136" s="23"/>
      <c r="I136" s="23"/>
      <c r="J136" s="23"/>
      <c r="K136" s="23">
        <f t="shared" si="53"/>
        <v>1894.5</v>
      </c>
      <c r="L136" s="23">
        <f t="shared" ref="L136:L137" si="55">13500-G136-K136</f>
        <v>5290.5</v>
      </c>
      <c r="M136" s="23"/>
      <c r="N136" s="23"/>
      <c r="O136" s="23"/>
      <c r="P136" s="23"/>
      <c r="Q136" s="23"/>
      <c r="R136" s="23">
        <f t="shared" ref="R136:R137" si="56">G136+K136+L136</f>
        <v>13500</v>
      </c>
      <c r="S136" s="25">
        <f t="shared" si="52"/>
        <v>81000</v>
      </c>
    </row>
    <row r="137" spans="1:20" x14ac:dyDescent="0.25">
      <c r="A137" s="20" t="s">
        <v>216</v>
      </c>
      <c r="B137" s="21" t="s">
        <v>215</v>
      </c>
      <c r="C137" s="22">
        <v>1</v>
      </c>
      <c r="D137" s="22">
        <v>10</v>
      </c>
      <c r="E137" s="23">
        <f>6315*C137</f>
        <v>6315</v>
      </c>
      <c r="F137" s="22"/>
      <c r="G137" s="23">
        <f t="shared" si="50"/>
        <v>6315</v>
      </c>
      <c r="H137" s="23"/>
      <c r="I137" s="23"/>
      <c r="J137" s="23"/>
      <c r="K137" s="23">
        <f>G137*0.3</f>
        <v>1894.5</v>
      </c>
      <c r="L137" s="23">
        <f t="shared" si="55"/>
        <v>5290.5</v>
      </c>
      <c r="M137" s="23"/>
      <c r="N137" s="23"/>
      <c r="O137" s="23"/>
      <c r="P137" s="23"/>
      <c r="Q137" s="23"/>
      <c r="R137" s="23">
        <f t="shared" si="56"/>
        <v>13500</v>
      </c>
      <c r="S137" s="25">
        <f t="shared" si="52"/>
        <v>81000</v>
      </c>
    </row>
    <row r="138" spans="1:20" x14ac:dyDescent="0.25">
      <c r="A138" s="20" t="s">
        <v>218</v>
      </c>
      <c r="B138" s="21" t="s">
        <v>134</v>
      </c>
      <c r="C138" s="22">
        <v>2</v>
      </c>
      <c r="D138" s="22">
        <v>3</v>
      </c>
      <c r="E138" s="23">
        <f>4095*C138</f>
        <v>8190</v>
      </c>
      <c r="F138" s="22"/>
      <c r="G138" s="23">
        <f t="shared" si="50"/>
        <v>8190</v>
      </c>
      <c r="H138" s="23"/>
      <c r="I138" s="23">
        <f>G138*0.1</f>
        <v>819</v>
      </c>
      <c r="J138" s="23"/>
      <c r="K138" s="23"/>
      <c r="L138" s="23"/>
      <c r="M138" s="23"/>
      <c r="N138" s="23"/>
      <c r="O138" s="23"/>
      <c r="P138" s="23">
        <f>8647*C138-G138</f>
        <v>9104</v>
      </c>
      <c r="Q138" s="23"/>
      <c r="R138" s="23">
        <f>SUM(G138:Q138)</f>
        <v>18113</v>
      </c>
      <c r="S138" s="25">
        <f t="shared" si="52"/>
        <v>108678</v>
      </c>
    </row>
    <row r="139" spans="1:20" s="27" customFormat="1" ht="25.8" customHeight="1" thickBot="1" x14ac:dyDescent="0.3">
      <c r="A139" s="64"/>
      <c r="B139" s="47" t="s">
        <v>59</v>
      </c>
      <c r="C139" s="34">
        <f>SUM(C128:C138)</f>
        <v>17.5</v>
      </c>
      <c r="D139" s="34"/>
      <c r="E139" s="35">
        <f>SUM(E128:E138)</f>
        <v>119606.5</v>
      </c>
      <c r="F139" s="34">
        <f>SUM(F128:F138)</f>
        <v>2206.9</v>
      </c>
      <c r="G139" s="35">
        <f>SUM(G128:G138)</f>
        <v>121813.4</v>
      </c>
      <c r="H139" s="35"/>
      <c r="I139" s="35">
        <f>SUM(I128:I138)</f>
        <v>3976.5</v>
      </c>
      <c r="J139" s="35"/>
      <c r="K139" s="35">
        <f>SUM(K128:K138)</f>
        <v>34087.019999999997</v>
      </c>
      <c r="L139" s="35">
        <f>SUM(L128:L138)</f>
        <v>107132.08</v>
      </c>
      <c r="M139" s="35">
        <f>SUM(M138:M138)</f>
        <v>0</v>
      </c>
      <c r="N139" s="35"/>
      <c r="O139" s="35">
        <f>SUM(O133:O138)</f>
        <v>0</v>
      </c>
      <c r="P139" s="35">
        <f>SUM(P138:P138)</f>
        <v>9104</v>
      </c>
      <c r="Q139" s="35"/>
      <c r="R139" s="35">
        <f>SUM(R128:R138)</f>
        <v>276113</v>
      </c>
      <c r="S139" s="36">
        <f>SUM(S128:S138)</f>
        <v>1656678</v>
      </c>
    </row>
    <row r="140" spans="1:20" ht="27.6" customHeight="1" x14ac:dyDescent="0.25">
      <c r="A140" s="15"/>
      <c r="B140" s="55" t="s">
        <v>217</v>
      </c>
      <c r="C140" s="85"/>
      <c r="D140" s="85"/>
      <c r="E140" s="94"/>
      <c r="F140" s="85"/>
      <c r="G140" s="94"/>
      <c r="H140" s="94"/>
      <c r="I140" s="94"/>
      <c r="J140" s="94"/>
      <c r="K140" s="94"/>
      <c r="L140" s="94"/>
      <c r="M140" s="94"/>
      <c r="N140" s="94"/>
      <c r="O140" s="94"/>
      <c r="P140" s="94"/>
      <c r="Q140" s="94"/>
      <c r="R140" s="94"/>
      <c r="S140" s="110"/>
    </row>
    <row r="141" spans="1:20" x14ac:dyDescent="0.25">
      <c r="A141" s="20" t="s">
        <v>221</v>
      </c>
      <c r="B141" s="21" t="s">
        <v>219</v>
      </c>
      <c r="C141" s="22">
        <v>6.5</v>
      </c>
      <c r="D141" s="22">
        <v>10</v>
      </c>
      <c r="E141" s="23">
        <f>6315*C141</f>
        <v>41047.5</v>
      </c>
      <c r="F141" s="22"/>
      <c r="G141" s="23">
        <f t="shared" ref="G141:G142" si="57">E141+F141</f>
        <v>41047.5</v>
      </c>
      <c r="H141" s="23"/>
      <c r="I141" s="23"/>
      <c r="J141" s="23"/>
      <c r="K141" s="23">
        <f t="shared" ref="K141" si="58">G141*0.3</f>
        <v>12314.25</v>
      </c>
      <c r="L141" s="23">
        <f>13500*C141-G141-K141-N141</f>
        <v>29960.904999999999</v>
      </c>
      <c r="M141" s="23"/>
      <c r="N141" s="23">
        <f>681.13*C141</f>
        <v>4427.3450000000003</v>
      </c>
      <c r="O141" s="23"/>
      <c r="P141" s="23"/>
      <c r="Q141" s="23"/>
      <c r="R141" s="23">
        <f t="shared" ref="R141" si="59">G141+K141+L141+N141</f>
        <v>87750</v>
      </c>
      <c r="S141" s="25">
        <f>R141*6</f>
        <v>526500</v>
      </c>
    </row>
    <row r="142" spans="1:20" x14ac:dyDescent="0.25">
      <c r="A142" s="20" t="s">
        <v>223</v>
      </c>
      <c r="B142" s="21" t="s">
        <v>78</v>
      </c>
      <c r="C142" s="22">
        <v>5</v>
      </c>
      <c r="D142" s="22">
        <v>4</v>
      </c>
      <c r="E142" s="23">
        <f>4407*C142</f>
        <v>22035</v>
      </c>
      <c r="F142" s="22"/>
      <c r="G142" s="23">
        <f t="shared" si="57"/>
        <v>22035</v>
      </c>
      <c r="H142" s="23"/>
      <c r="I142" s="23"/>
      <c r="J142" s="23"/>
      <c r="K142" s="23"/>
      <c r="L142" s="23"/>
      <c r="M142" s="23"/>
      <c r="N142" s="23">
        <f>475.33*C142</f>
        <v>2376.65</v>
      </c>
      <c r="O142" s="23"/>
      <c r="P142" s="23">
        <f>8647*C142-G142</f>
        <v>21200</v>
      </c>
      <c r="Q142" s="23"/>
      <c r="R142" s="23">
        <f>E142+P142+N142</f>
        <v>45611.65</v>
      </c>
      <c r="S142" s="25">
        <f>R142*6</f>
        <v>273669.90000000002</v>
      </c>
    </row>
    <row r="143" spans="1:20" s="27" customFormat="1" ht="22.2" customHeight="1" thickBot="1" x14ac:dyDescent="0.3">
      <c r="A143" s="64"/>
      <c r="B143" s="47" t="s">
        <v>59</v>
      </c>
      <c r="C143" s="34">
        <f>SUM(C141:C142)</f>
        <v>11.5</v>
      </c>
      <c r="D143" s="34"/>
      <c r="E143" s="35">
        <f>SUM(E141:E142)</f>
        <v>63082.5</v>
      </c>
      <c r="F143" s="34"/>
      <c r="G143" s="35">
        <f>SUM(G141:G142)</f>
        <v>63082.5</v>
      </c>
      <c r="H143" s="35"/>
      <c r="I143" s="35"/>
      <c r="J143" s="35"/>
      <c r="K143" s="35">
        <f>SUM(K141:K142)</f>
        <v>12314.25</v>
      </c>
      <c r="L143" s="35">
        <f>SUM(L141:L142)</f>
        <v>29960.904999999999</v>
      </c>
      <c r="M143" s="35"/>
      <c r="N143" s="35">
        <f>SUM(N141:N142)</f>
        <v>6803.9950000000008</v>
      </c>
      <c r="O143" s="35"/>
      <c r="P143" s="35">
        <f>SUM(P141:P142)</f>
        <v>21200</v>
      </c>
      <c r="Q143" s="35"/>
      <c r="R143" s="35">
        <f>SUM(R141:R142)</f>
        <v>133361.65</v>
      </c>
      <c r="S143" s="36">
        <f>SUM(S141:S142)</f>
        <v>800169.9</v>
      </c>
    </row>
    <row r="144" spans="1:20" ht="29.4" customHeight="1" x14ac:dyDescent="0.25">
      <c r="A144" s="15"/>
      <c r="B144" s="55" t="s">
        <v>222</v>
      </c>
      <c r="C144" s="85"/>
      <c r="D144" s="85"/>
      <c r="E144" s="94"/>
      <c r="F144" s="85"/>
      <c r="G144" s="94"/>
      <c r="H144" s="94"/>
      <c r="I144" s="94"/>
      <c r="J144" s="94"/>
      <c r="K144" s="94"/>
      <c r="L144" s="94"/>
      <c r="M144" s="94"/>
      <c r="N144" s="94"/>
      <c r="O144" s="94"/>
      <c r="P144" s="94"/>
      <c r="Q144" s="94"/>
      <c r="R144" s="94"/>
      <c r="S144" s="110"/>
    </row>
    <row r="145" spans="1:20" x14ac:dyDescent="0.25">
      <c r="A145" s="20" t="s">
        <v>224</v>
      </c>
      <c r="B145" s="21" t="s">
        <v>206</v>
      </c>
      <c r="C145" s="22">
        <v>1</v>
      </c>
      <c r="D145" s="22">
        <v>12</v>
      </c>
      <c r="E145" s="23">
        <f>7356*C145</f>
        <v>7356</v>
      </c>
      <c r="F145" s="22">
        <f>E145*0.1</f>
        <v>735.6</v>
      </c>
      <c r="G145" s="23">
        <f t="shared" ref="G145:G150" si="60">E145+F145</f>
        <v>8091.6</v>
      </c>
      <c r="H145" s="23"/>
      <c r="I145" s="23"/>
      <c r="J145" s="23"/>
      <c r="K145" s="23">
        <f>G145*0.3</f>
        <v>2427.48</v>
      </c>
      <c r="L145" s="23">
        <f>20000*C145-G145-K145</f>
        <v>9480.92</v>
      </c>
      <c r="M145" s="23"/>
      <c r="N145" s="23"/>
      <c r="O145" s="23"/>
      <c r="P145" s="23"/>
      <c r="Q145" s="23"/>
      <c r="R145" s="23">
        <f>G145+K145+L145</f>
        <v>20000</v>
      </c>
      <c r="S145" s="25">
        <f>R145*6</f>
        <v>120000</v>
      </c>
    </row>
    <row r="146" spans="1:20" x14ac:dyDescent="0.25">
      <c r="A146" s="20" t="s">
        <v>225</v>
      </c>
      <c r="B146" s="21" t="s">
        <v>91</v>
      </c>
      <c r="C146" s="22">
        <v>1</v>
      </c>
      <c r="D146" s="22">
        <v>7</v>
      </c>
      <c r="E146" s="23">
        <f>5344*C146</f>
        <v>5344</v>
      </c>
      <c r="F146" s="22"/>
      <c r="G146" s="23">
        <f t="shared" si="60"/>
        <v>5344</v>
      </c>
      <c r="H146" s="23"/>
      <c r="I146" s="23"/>
      <c r="J146" s="23"/>
      <c r="K146" s="23">
        <f>G146*0.3</f>
        <v>1603.2</v>
      </c>
      <c r="L146" s="23">
        <f>13500-G146-K146</f>
        <v>6552.8</v>
      </c>
      <c r="M146" s="23"/>
      <c r="N146" s="23"/>
      <c r="O146" s="23"/>
      <c r="P146" s="23"/>
      <c r="Q146" s="23"/>
      <c r="R146" s="23">
        <f>G146+K146+L146</f>
        <v>13500</v>
      </c>
      <c r="S146" s="25">
        <f t="shared" ref="S146:S147" si="61">R146*6</f>
        <v>81000</v>
      </c>
    </row>
    <row r="147" spans="1:20" x14ac:dyDescent="0.25">
      <c r="A147" s="20" t="s">
        <v>226</v>
      </c>
      <c r="B147" s="21" t="s">
        <v>134</v>
      </c>
      <c r="C147" s="22">
        <v>1</v>
      </c>
      <c r="D147" s="22">
        <v>3</v>
      </c>
      <c r="E147" s="23">
        <f>4095*C147</f>
        <v>4095</v>
      </c>
      <c r="F147" s="22"/>
      <c r="G147" s="23">
        <f t="shared" si="60"/>
        <v>4095</v>
      </c>
      <c r="H147" s="23"/>
      <c r="I147" s="23">
        <f>G147*0.1</f>
        <v>409.5</v>
      </c>
      <c r="J147" s="23"/>
      <c r="K147" s="23"/>
      <c r="L147" s="23"/>
      <c r="M147" s="23"/>
      <c r="N147" s="23"/>
      <c r="O147" s="23"/>
      <c r="P147" s="23">
        <f>8647-G147</f>
        <v>4552</v>
      </c>
      <c r="Q147" s="23"/>
      <c r="R147" s="23">
        <f>SUM(G147:Q147)</f>
        <v>9056.5</v>
      </c>
      <c r="S147" s="25">
        <f t="shared" si="61"/>
        <v>54339</v>
      </c>
    </row>
    <row r="148" spans="1:20" x14ac:dyDescent="0.25">
      <c r="A148" s="20" t="s">
        <v>228</v>
      </c>
      <c r="B148" s="21" t="s">
        <v>227</v>
      </c>
      <c r="C148" s="22">
        <v>1.75</v>
      </c>
      <c r="D148" s="22">
        <v>1</v>
      </c>
      <c r="E148" s="23">
        <f>3470*C148</f>
        <v>6072.5</v>
      </c>
      <c r="F148" s="22"/>
      <c r="G148" s="23">
        <f t="shared" si="60"/>
        <v>6072.5</v>
      </c>
      <c r="H148" s="23"/>
      <c r="I148" s="23"/>
      <c r="J148" s="23"/>
      <c r="K148" s="23"/>
      <c r="L148" s="23"/>
      <c r="M148" s="23"/>
      <c r="N148" s="23"/>
      <c r="O148" s="23"/>
      <c r="P148" s="23">
        <f>8647*C148-G148</f>
        <v>9059.75</v>
      </c>
      <c r="Q148" s="23"/>
      <c r="R148" s="23">
        <f>SUM(G148:Q148)</f>
        <v>15132.25</v>
      </c>
      <c r="S148" s="25">
        <f>R148*3</f>
        <v>45396.75</v>
      </c>
    </row>
    <row r="149" spans="1:20" s="38" customFormat="1" x14ac:dyDescent="0.25">
      <c r="A149" s="20" t="s">
        <v>231</v>
      </c>
      <c r="B149" s="21" t="s">
        <v>229</v>
      </c>
      <c r="C149" s="22">
        <v>0.5</v>
      </c>
      <c r="D149" s="22">
        <v>1</v>
      </c>
      <c r="E149" s="23">
        <f>3470*C149</f>
        <v>1735</v>
      </c>
      <c r="F149" s="22"/>
      <c r="G149" s="23">
        <f t="shared" si="60"/>
        <v>1735</v>
      </c>
      <c r="H149" s="23"/>
      <c r="I149" s="23"/>
      <c r="J149" s="23"/>
      <c r="K149" s="23"/>
      <c r="L149" s="23"/>
      <c r="M149" s="23"/>
      <c r="N149" s="23"/>
      <c r="O149" s="23"/>
      <c r="P149" s="23">
        <f>4323.5-G149</f>
        <v>2588.5</v>
      </c>
      <c r="Q149" s="23"/>
      <c r="R149" s="23">
        <f>SUM(G149:Q149)</f>
        <v>4323.5</v>
      </c>
      <c r="S149" s="25">
        <f>R149*6</f>
        <v>25941</v>
      </c>
    </row>
    <row r="150" spans="1:20" s="27" customFormat="1" ht="27" customHeight="1" thickBot="1" x14ac:dyDescent="0.3">
      <c r="A150" s="64"/>
      <c r="B150" s="47" t="s">
        <v>59</v>
      </c>
      <c r="C150" s="34">
        <f>SUM(C145:C149)</f>
        <v>5.25</v>
      </c>
      <c r="D150" s="34"/>
      <c r="E150" s="35">
        <f>SUM(E145:E149)</f>
        <v>24602.5</v>
      </c>
      <c r="F150" s="34">
        <f>SUM(F145:F149)</f>
        <v>735.6</v>
      </c>
      <c r="G150" s="35">
        <f t="shared" si="60"/>
        <v>25338.1</v>
      </c>
      <c r="H150" s="35"/>
      <c r="I150" s="35">
        <f>SUM(I147:I149)</f>
        <v>409.5</v>
      </c>
      <c r="J150" s="35"/>
      <c r="K150" s="35">
        <f>SUM(K145:K149)</f>
        <v>4030.6800000000003</v>
      </c>
      <c r="L150" s="35">
        <f>SUM(L145:L149)</f>
        <v>16033.720000000001</v>
      </c>
      <c r="M150" s="35"/>
      <c r="N150" s="35"/>
      <c r="O150" s="35"/>
      <c r="P150" s="35">
        <f>SUM(P145:P149)</f>
        <v>16200.25</v>
      </c>
      <c r="Q150" s="35"/>
      <c r="R150" s="35">
        <f>SUM(R145:R149)</f>
        <v>62012.25</v>
      </c>
      <c r="S150" s="36">
        <f>SUM(S145:S149)</f>
        <v>326676.75</v>
      </c>
    </row>
    <row r="151" spans="1:20" ht="23.4" customHeight="1" x14ac:dyDescent="0.25">
      <c r="A151" s="15"/>
      <c r="B151" s="55" t="s">
        <v>230</v>
      </c>
      <c r="C151" s="85"/>
      <c r="D151" s="85"/>
      <c r="E151" s="94"/>
      <c r="F151" s="85"/>
      <c r="G151" s="94"/>
      <c r="H151" s="94"/>
      <c r="I151" s="94"/>
      <c r="J151" s="94"/>
      <c r="K151" s="94"/>
      <c r="L151" s="94"/>
      <c r="M151" s="94"/>
      <c r="N151" s="94"/>
      <c r="O151" s="94"/>
      <c r="P151" s="94"/>
      <c r="Q151" s="94"/>
      <c r="R151" s="94"/>
      <c r="S151" s="110"/>
    </row>
    <row r="152" spans="1:20" x14ac:dyDescent="0.25">
      <c r="A152" s="20" t="s">
        <v>233</v>
      </c>
      <c r="B152" s="21" t="s">
        <v>232</v>
      </c>
      <c r="C152" s="22">
        <v>1.25</v>
      </c>
      <c r="D152" s="22">
        <v>13</v>
      </c>
      <c r="E152" s="23">
        <f>7877*C152</f>
        <v>9846.25</v>
      </c>
      <c r="F152" s="22">
        <f>E152*0.1</f>
        <v>984.625</v>
      </c>
      <c r="G152" s="23">
        <f t="shared" ref="G152:G156" si="62">E152+F152</f>
        <v>10830.875</v>
      </c>
      <c r="H152" s="23"/>
      <c r="I152" s="23"/>
      <c r="J152" s="23"/>
      <c r="K152" s="23">
        <f>G152*0.3</f>
        <v>3249.2624999999998</v>
      </c>
      <c r="L152" s="23">
        <f>20000*C152-G152-K152</f>
        <v>10919.862499999999</v>
      </c>
      <c r="M152" s="23"/>
      <c r="N152" s="23"/>
      <c r="O152" s="23"/>
      <c r="P152" s="23"/>
      <c r="Q152" s="23"/>
      <c r="R152" s="23">
        <f>G152+K152+L152+O152</f>
        <v>25000</v>
      </c>
      <c r="S152" s="25">
        <f>R152*6</f>
        <v>150000</v>
      </c>
    </row>
    <row r="153" spans="1:20" x14ac:dyDescent="0.25">
      <c r="A153" s="20" t="s">
        <v>234</v>
      </c>
      <c r="B153" s="21" t="s">
        <v>212</v>
      </c>
      <c r="C153" s="22">
        <v>2</v>
      </c>
      <c r="D153" s="22">
        <v>10</v>
      </c>
      <c r="E153" s="23">
        <f>6315*C153</f>
        <v>12630</v>
      </c>
      <c r="F153" s="22"/>
      <c r="G153" s="23">
        <f t="shared" si="62"/>
        <v>12630</v>
      </c>
      <c r="H153" s="23"/>
      <c r="I153" s="23"/>
      <c r="J153" s="23"/>
      <c r="K153" s="23">
        <f t="shared" ref="K153:K154" si="63">G153*0.3</f>
        <v>3789</v>
      </c>
      <c r="L153" s="23">
        <f>13500*C153-G153-K153</f>
        <v>10581</v>
      </c>
      <c r="M153" s="23"/>
      <c r="N153" s="23"/>
      <c r="O153" s="23"/>
      <c r="P153" s="23"/>
      <c r="Q153" s="23"/>
      <c r="R153" s="23">
        <f>G153+K153+L153</f>
        <v>27000</v>
      </c>
      <c r="S153" s="25">
        <f t="shared" ref="S153:S155" si="64">R153*6</f>
        <v>162000</v>
      </c>
    </row>
    <row r="154" spans="1:20" s="13" customFormat="1" x14ac:dyDescent="0.25">
      <c r="A154" s="20" t="s">
        <v>236</v>
      </c>
      <c r="B154" s="21" t="s">
        <v>235</v>
      </c>
      <c r="C154" s="22">
        <v>1</v>
      </c>
      <c r="D154" s="22">
        <v>7</v>
      </c>
      <c r="E154" s="23">
        <f>5344*C154</f>
        <v>5344</v>
      </c>
      <c r="F154" s="22"/>
      <c r="G154" s="23">
        <f t="shared" si="62"/>
        <v>5344</v>
      </c>
      <c r="H154" s="23"/>
      <c r="I154" s="23"/>
      <c r="J154" s="23"/>
      <c r="K154" s="23">
        <f t="shared" si="63"/>
        <v>1603.2</v>
      </c>
      <c r="L154" s="23">
        <f>13500-G154-K154</f>
        <v>6552.8</v>
      </c>
      <c r="M154" s="23"/>
      <c r="N154" s="23"/>
      <c r="O154" s="23"/>
      <c r="P154" s="23"/>
      <c r="Q154" s="23"/>
      <c r="R154" s="23">
        <f>G154+L154+K154</f>
        <v>13500</v>
      </c>
      <c r="S154" s="25">
        <f t="shared" si="64"/>
        <v>81000</v>
      </c>
    </row>
    <row r="155" spans="1:20" s="38" customFormat="1" x14ac:dyDescent="0.25">
      <c r="A155" s="20" t="s">
        <v>238</v>
      </c>
      <c r="B155" s="21" t="s">
        <v>134</v>
      </c>
      <c r="C155" s="22">
        <v>1</v>
      </c>
      <c r="D155" s="22">
        <v>3</v>
      </c>
      <c r="E155" s="23">
        <f>4095*C155</f>
        <v>4095</v>
      </c>
      <c r="F155" s="22"/>
      <c r="G155" s="23">
        <f t="shared" si="62"/>
        <v>4095</v>
      </c>
      <c r="H155" s="23"/>
      <c r="I155" s="23">
        <f>G155*0.1</f>
        <v>409.5</v>
      </c>
      <c r="J155" s="23"/>
      <c r="K155" s="23"/>
      <c r="L155" s="23"/>
      <c r="M155" s="23"/>
      <c r="N155" s="23"/>
      <c r="O155" s="23"/>
      <c r="P155" s="23">
        <f>8647-G155</f>
        <v>4552</v>
      </c>
      <c r="Q155" s="23"/>
      <c r="R155" s="23">
        <f>G155+I155+P155</f>
        <v>9056.5</v>
      </c>
      <c r="S155" s="25">
        <f t="shared" si="64"/>
        <v>54339</v>
      </c>
      <c r="T155" s="46"/>
    </row>
    <row r="156" spans="1:20" s="27" customFormat="1" ht="27" customHeight="1" thickBot="1" x14ac:dyDescent="0.3">
      <c r="A156" s="64"/>
      <c r="B156" s="47" t="s">
        <v>59</v>
      </c>
      <c r="C156" s="34">
        <f>SUM(C152:C155)</f>
        <v>5.25</v>
      </c>
      <c r="D156" s="34"/>
      <c r="E156" s="35">
        <f>SUM(E152:E155)</f>
        <v>31915.25</v>
      </c>
      <c r="F156" s="34">
        <f>SUM(F152:F155)</f>
        <v>984.625</v>
      </c>
      <c r="G156" s="35">
        <f t="shared" si="62"/>
        <v>32899.875</v>
      </c>
      <c r="H156" s="35"/>
      <c r="I156" s="35">
        <f>SUM(I155)</f>
        <v>409.5</v>
      </c>
      <c r="J156" s="35"/>
      <c r="K156" s="35">
        <f>SUM(K152:K155)</f>
        <v>8641.4624999999996</v>
      </c>
      <c r="L156" s="35">
        <f>SUM(L152:L155)</f>
        <v>28053.662499999999</v>
      </c>
      <c r="M156" s="35">
        <f>SUM(M152:M154)</f>
        <v>0</v>
      </c>
      <c r="N156" s="35"/>
      <c r="O156" s="35">
        <f>SUM(O152:O155)</f>
        <v>0</v>
      </c>
      <c r="P156" s="35">
        <f>SUM(P155)</f>
        <v>4552</v>
      </c>
      <c r="Q156" s="35"/>
      <c r="R156" s="35">
        <f>SUM(R152:R155)</f>
        <v>74556.5</v>
      </c>
      <c r="S156" s="36">
        <f>SUM(S152:S155)</f>
        <v>447339</v>
      </c>
    </row>
    <row r="157" spans="1:20" ht="17.399999999999999" customHeight="1" x14ac:dyDescent="0.25">
      <c r="A157" s="15"/>
      <c r="B157" s="55" t="s">
        <v>237</v>
      </c>
      <c r="C157" s="85"/>
      <c r="D157" s="85"/>
      <c r="E157" s="94"/>
      <c r="F157" s="85"/>
      <c r="G157" s="94"/>
      <c r="H157" s="94"/>
      <c r="I157" s="94"/>
      <c r="J157" s="94"/>
      <c r="K157" s="94"/>
      <c r="L157" s="94"/>
      <c r="M157" s="94"/>
      <c r="N157" s="94"/>
      <c r="O157" s="94"/>
      <c r="P157" s="94"/>
      <c r="Q157" s="94"/>
      <c r="R157" s="94"/>
      <c r="S157" s="110"/>
    </row>
    <row r="158" spans="1:20" x14ac:dyDescent="0.25">
      <c r="A158" s="20" t="s">
        <v>239</v>
      </c>
      <c r="B158" s="21" t="s">
        <v>206</v>
      </c>
      <c r="C158" s="22">
        <v>2.25</v>
      </c>
      <c r="D158" s="22">
        <v>11</v>
      </c>
      <c r="E158" s="23">
        <f>6836*C158</f>
        <v>15381</v>
      </c>
      <c r="F158" s="22">
        <f>E158*0.1</f>
        <v>1538.1000000000001</v>
      </c>
      <c r="G158" s="23">
        <f t="shared" ref="G158:G163" si="65">E158+F158</f>
        <v>16919.099999999999</v>
      </c>
      <c r="H158" s="23"/>
      <c r="I158" s="23"/>
      <c r="J158" s="23"/>
      <c r="K158" s="23">
        <f>G158*0.3</f>
        <v>5075.7299999999996</v>
      </c>
      <c r="L158" s="23">
        <f>20000*C158-G158-K158</f>
        <v>23005.170000000002</v>
      </c>
      <c r="M158" s="23"/>
      <c r="N158" s="23"/>
      <c r="O158" s="23"/>
      <c r="P158" s="23"/>
      <c r="Q158" s="23"/>
      <c r="R158" s="23">
        <f>SUM(G158:Q158)</f>
        <v>45000</v>
      </c>
      <c r="S158" s="25">
        <f>R158*6</f>
        <v>270000</v>
      </c>
    </row>
    <row r="159" spans="1:20" x14ac:dyDescent="0.25">
      <c r="A159" s="20" t="s">
        <v>240</v>
      </c>
      <c r="B159" s="21" t="s">
        <v>241</v>
      </c>
      <c r="C159" s="22">
        <v>2</v>
      </c>
      <c r="D159" s="22">
        <v>10</v>
      </c>
      <c r="E159" s="23">
        <f>6315*C159</f>
        <v>12630</v>
      </c>
      <c r="F159" s="22"/>
      <c r="G159" s="23">
        <f t="shared" si="65"/>
        <v>12630</v>
      </c>
      <c r="H159" s="23"/>
      <c r="I159" s="23"/>
      <c r="J159" s="23"/>
      <c r="K159" s="23">
        <f t="shared" ref="K159:K160" si="66">G159*0.3</f>
        <v>3789</v>
      </c>
      <c r="L159" s="23">
        <f>13500*C159-G159-K159</f>
        <v>10581</v>
      </c>
      <c r="M159" s="23"/>
      <c r="N159" s="23"/>
      <c r="O159" s="23"/>
      <c r="P159" s="23"/>
      <c r="Q159" s="23"/>
      <c r="R159" s="23">
        <f>G159+K159+L159</f>
        <v>27000</v>
      </c>
      <c r="S159" s="25">
        <f t="shared" ref="S159:S162" si="67">R159*6</f>
        <v>162000</v>
      </c>
    </row>
    <row r="160" spans="1:20" s="13" customFormat="1" x14ac:dyDescent="0.25">
      <c r="A160" s="20" t="s">
        <v>242</v>
      </c>
      <c r="B160" s="21" t="s">
        <v>91</v>
      </c>
      <c r="C160" s="22">
        <v>2</v>
      </c>
      <c r="D160" s="22">
        <v>9</v>
      </c>
      <c r="E160" s="23">
        <f>6003*C160</f>
        <v>12006</v>
      </c>
      <c r="F160" s="22"/>
      <c r="G160" s="23">
        <f t="shared" si="65"/>
        <v>12006</v>
      </c>
      <c r="H160" s="23"/>
      <c r="I160" s="23"/>
      <c r="J160" s="23"/>
      <c r="K160" s="23">
        <f t="shared" si="66"/>
        <v>3601.7999999999997</v>
      </c>
      <c r="L160" s="23">
        <f>13500*C160-G160-K160</f>
        <v>11392.2</v>
      </c>
      <c r="M160" s="23"/>
      <c r="N160" s="23"/>
      <c r="O160" s="23"/>
      <c r="P160" s="23"/>
      <c r="Q160" s="23"/>
      <c r="R160" s="23">
        <f>G160+K160+L160</f>
        <v>27000</v>
      </c>
      <c r="S160" s="25">
        <f t="shared" si="67"/>
        <v>162000</v>
      </c>
    </row>
    <row r="161" spans="1:20" x14ac:dyDescent="0.25">
      <c r="A161" s="20" t="s">
        <v>243</v>
      </c>
      <c r="B161" s="21" t="s">
        <v>134</v>
      </c>
      <c r="C161" s="22">
        <v>1</v>
      </c>
      <c r="D161" s="22">
        <v>3</v>
      </c>
      <c r="E161" s="23">
        <f>4095*C161</f>
        <v>4095</v>
      </c>
      <c r="F161" s="22"/>
      <c r="G161" s="23">
        <f t="shared" si="65"/>
        <v>4095</v>
      </c>
      <c r="H161" s="23"/>
      <c r="I161" s="23">
        <f>G161*0.1</f>
        <v>409.5</v>
      </c>
      <c r="J161" s="23"/>
      <c r="K161" s="23"/>
      <c r="L161" s="23"/>
      <c r="M161" s="23"/>
      <c r="N161" s="23"/>
      <c r="O161" s="23"/>
      <c r="P161" s="23">
        <f>8647-G161</f>
        <v>4552</v>
      </c>
      <c r="Q161" s="23"/>
      <c r="R161" s="23">
        <f>SUM(G161:Q161)</f>
        <v>9056.5</v>
      </c>
      <c r="S161" s="25">
        <f t="shared" si="67"/>
        <v>54339</v>
      </c>
    </row>
    <row r="162" spans="1:20" s="38" customFormat="1" x14ac:dyDescent="0.25">
      <c r="A162" s="20" t="s">
        <v>244</v>
      </c>
      <c r="B162" s="21" t="s">
        <v>245</v>
      </c>
      <c r="C162" s="22">
        <v>1</v>
      </c>
      <c r="D162" s="22">
        <v>5</v>
      </c>
      <c r="E162" s="23">
        <f>4719*C162</f>
        <v>4719</v>
      </c>
      <c r="F162" s="22"/>
      <c r="G162" s="23">
        <f t="shared" si="65"/>
        <v>4719</v>
      </c>
      <c r="H162" s="23"/>
      <c r="I162" s="23"/>
      <c r="J162" s="23"/>
      <c r="K162" s="23"/>
      <c r="L162" s="23"/>
      <c r="M162" s="23"/>
      <c r="N162" s="23"/>
      <c r="O162" s="23"/>
      <c r="P162" s="23">
        <f>8647-G162</f>
        <v>3928</v>
      </c>
      <c r="Q162" s="23"/>
      <c r="R162" s="23">
        <f>G162+P162</f>
        <v>8647</v>
      </c>
      <c r="S162" s="25">
        <f t="shared" si="67"/>
        <v>51882</v>
      </c>
    </row>
    <row r="163" spans="1:20" s="27" customFormat="1" ht="17.399999999999999" customHeight="1" thickBot="1" x14ac:dyDescent="0.3">
      <c r="A163" s="64"/>
      <c r="B163" s="47" t="s">
        <v>59</v>
      </c>
      <c r="C163" s="34">
        <f>SUM(C158:C162)</f>
        <v>8.25</v>
      </c>
      <c r="D163" s="34"/>
      <c r="E163" s="35">
        <f>SUM(E158:E162)</f>
        <v>48831</v>
      </c>
      <c r="F163" s="34">
        <f>SUM(F158:F162)</f>
        <v>1538.1000000000001</v>
      </c>
      <c r="G163" s="35">
        <f t="shared" si="65"/>
        <v>50369.1</v>
      </c>
      <c r="H163" s="35"/>
      <c r="I163" s="35">
        <f>SUM(I161:I162)</f>
        <v>409.5</v>
      </c>
      <c r="J163" s="35"/>
      <c r="K163" s="35">
        <f>SUM(K158:K162)</f>
        <v>12466.529999999999</v>
      </c>
      <c r="L163" s="35">
        <f>SUM(L158:L162)</f>
        <v>44978.369999999995</v>
      </c>
      <c r="M163" s="35">
        <f>M158</f>
        <v>0</v>
      </c>
      <c r="N163" s="35"/>
      <c r="O163" s="35">
        <f>SUM(O158:O162)</f>
        <v>0</v>
      </c>
      <c r="P163" s="35">
        <f>SUM(P161:P162)</f>
        <v>8480</v>
      </c>
      <c r="Q163" s="35"/>
      <c r="R163" s="35">
        <f>SUM(R158:R162)</f>
        <v>116703.5</v>
      </c>
      <c r="S163" s="36">
        <f>SUM(S158:S162)</f>
        <v>700221</v>
      </c>
    </row>
    <row r="164" spans="1:20" s="13" customFormat="1" ht="25.8" customHeight="1" x14ac:dyDescent="0.2">
      <c r="A164" s="18"/>
      <c r="B164" s="55" t="s">
        <v>246</v>
      </c>
      <c r="C164" s="85"/>
      <c r="D164" s="85"/>
      <c r="E164" s="94"/>
      <c r="F164" s="85"/>
      <c r="G164" s="94"/>
      <c r="H164" s="94"/>
      <c r="I164" s="94"/>
      <c r="J164" s="94"/>
      <c r="K164" s="94"/>
      <c r="L164" s="94"/>
      <c r="M164" s="94"/>
      <c r="N164" s="94"/>
      <c r="O164" s="94"/>
      <c r="P164" s="94"/>
      <c r="Q164" s="94"/>
      <c r="R164" s="94"/>
      <c r="S164" s="110"/>
    </row>
    <row r="165" spans="1:20" x14ac:dyDescent="0.25">
      <c r="A165" s="20" t="s">
        <v>247</v>
      </c>
      <c r="B165" s="21" t="s">
        <v>232</v>
      </c>
      <c r="C165" s="22">
        <v>1.25</v>
      </c>
      <c r="D165" s="22">
        <v>11</v>
      </c>
      <c r="E165" s="23">
        <f>6836*C165</f>
        <v>8545</v>
      </c>
      <c r="F165" s="22">
        <f>E165*0.1</f>
        <v>854.5</v>
      </c>
      <c r="G165" s="23">
        <f t="shared" ref="G165:G168" si="68">E165+F165</f>
        <v>9399.5</v>
      </c>
      <c r="H165" s="23"/>
      <c r="I165" s="23"/>
      <c r="J165" s="23"/>
      <c r="K165" s="23">
        <f>G165*0.3</f>
        <v>2819.85</v>
      </c>
      <c r="L165" s="23">
        <f>20000*C165-G165-K165</f>
        <v>12780.65</v>
      </c>
      <c r="M165" s="23"/>
      <c r="N165" s="23"/>
      <c r="O165" s="23"/>
      <c r="P165" s="23"/>
      <c r="Q165" s="23"/>
      <c r="R165" s="23">
        <f>G165+K165+L165+O165</f>
        <v>25000</v>
      </c>
      <c r="S165" s="25">
        <f>R165*6</f>
        <v>150000</v>
      </c>
      <c r="T165" s="53"/>
    </row>
    <row r="166" spans="1:20" x14ac:dyDescent="0.25">
      <c r="A166" s="20" t="s">
        <v>248</v>
      </c>
      <c r="B166" s="21" t="s">
        <v>235</v>
      </c>
      <c r="C166" s="22">
        <v>1</v>
      </c>
      <c r="D166" s="22">
        <v>10</v>
      </c>
      <c r="E166" s="23">
        <f>6315*C166</f>
        <v>6315</v>
      </c>
      <c r="F166" s="22"/>
      <c r="G166" s="23">
        <f t="shared" si="68"/>
        <v>6315</v>
      </c>
      <c r="H166" s="23"/>
      <c r="I166" s="23"/>
      <c r="J166" s="23"/>
      <c r="K166" s="23">
        <f t="shared" ref="K166:K167" si="69">G166*0.3</f>
        <v>1894.5</v>
      </c>
      <c r="L166" s="23">
        <f>13500-G166-K166</f>
        <v>5290.5</v>
      </c>
      <c r="M166" s="23"/>
      <c r="N166" s="23"/>
      <c r="O166" s="23"/>
      <c r="P166" s="23"/>
      <c r="Q166" s="23"/>
      <c r="R166" s="23">
        <f>G166+K166+L166</f>
        <v>13500</v>
      </c>
      <c r="S166" s="25">
        <f t="shared" ref="S166:S169" si="70">R166*6</f>
        <v>81000</v>
      </c>
    </row>
    <row r="167" spans="1:20" x14ac:dyDescent="0.25">
      <c r="A167" s="20" t="s">
        <v>249</v>
      </c>
      <c r="B167" s="21" t="s">
        <v>91</v>
      </c>
      <c r="C167" s="22">
        <v>0.5</v>
      </c>
      <c r="D167" s="22">
        <v>10</v>
      </c>
      <c r="E167" s="23">
        <f>6315*C167</f>
        <v>3157.5</v>
      </c>
      <c r="F167" s="22"/>
      <c r="G167" s="23">
        <f t="shared" si="68"/>
        <v>3157.5</v>
      </c>
      <c r="H167" s="23"/>
      <c r="I167" s="23"/>
      <c r="J167" s="23"/>
      <c r="K167" s="23">
        <f t="shared" si="69"/>
        <v>947.25</v>
      </c>
      <c r="L167" s="23">
        <f>13500/2-G167-K167</f>
        <v>2645.25</v>
      </c>
      <c r="M167" s="23"/>
      <c r="N167" s="23"/>
      <c r="O167" s="23"/>
      <c r="P167" s="23"/>
      <c r="Q167" s="23"/>
      <c r="R167" s="23">
        <f>G167+K167+L167</f>
        <v>6750</v>
      </c>
      <c r="S167" s="25">
        <f t="shared" si="70"/>
        <v>40500</v>
      </c>
    </row>
    <row r="168" spans="1:20" x14ac:dyDescent="0.25">
      <c r="A168" s="20" t="s">
        <v>250</v>
      </c>
      <c r="B168" s="21" t="s">
        <v>134</v>
      </c>
      <c r="C168" s="22">
        <v>0.5</v>
      </c>
      <c r="D168" s="22">
        <v>3</v>
      </c>
      <c r="E168" s="23">
        <f>4095*C168</f>
        <v>2047.5</v>
      </c>
      <c r="F168" s="22"/>
      <c r="G168" s="23">
        <f t="shared" si="68"/>
        <v>2047.5</v>
      </c>
      <c r="H168" s="23"/>
      <c r="I168" s="23">
        <f>G168*0.1</f>
        <v>204.75</v>
      </c>
      <c r="J168" s="23"/>
      <c r="K168" s="23"/>
      <c r="L168" s="23"/>
      <c r="M168" s="23"/>
      <c r="N168" s="23"/>
      <c r="O168" s="23"/>
      <c r="P168" s="23">
        <f>8647/2-G168</f>
        <v>2276</v>
      </c>
      <c r="Q168" s="23"/>
      <c r="R168" s="23">
        <f>SUM(G168:Q168)</f>
        <v>4528.25</v>
      </c>
      <c r="S168" s="25">
        <f t="shared" si="70"/>
        <v>27169.5</v>
      </c>
    </row>
    <row r="169" spans="1:20" s="38" customFormat="1" x14ac:dyDescent="0.25">
      <c r="A169" s="20" t="s">
        <v>251</v>
      </c>
      <c r="B169" s="21" t="s">
        <v>229</v>
      </c>
      <c r="C169" s="22">
        <v>0.5</v>
      </c>
      <c r="D169" s="22">
        <v>1</v>
      </c>
      <c r="E169" s="23">
        <f>3470</f>
        <v>3470</v>
      </c>
      <c r="F169" s="22"/>
      <c r="G169" s="23">
        <f>E169+F169</f>
        <v>3470</v>
      </c>
      <c r="H169" s="23"/>
      <c r="I169" s="23"/>
      <c r="J169" s="23"/>
      <c r="K169" s="23"/>
      <c r="L169" s="23"/>
      <c r="M169" s="23"/>
      <c r="N169" s="23"/>
      <c r="O169" s="23"/>
      <c r="P169" s="23">
        <f>8647/2-G169</f>
        <v>853.5</v>
      </c>
      <c r="Q169" s="23"/>
      <c r="R169" s="23">
        <f t="shared" ref="R169" si="71">SUM(G169:Q169)</f>
        <v>4323.5</v>
      </c>
      <c r="S169" s="25">
        <f t="shared" si="70"/>
        <v>25941</v>
      </c>
    </row>
    <row r="170" spans="1:20" s="49" customFormat="1" ht="25.8" customHeight="1" thickBot="1" x14ac:dyDescent="0.3">
      <c r="A170" s="64"/>
      <c r="B170" s="47" t="s">
        <v>59</v>
      </c>
      <c r="C170" s="34">
        <f>SUM(C165:C169)</f>
        <v>3.75</v>
      </c>
      <c r="D170" s="34"/>
      <c r="E170" s="35">
        <f>SUM(E165:E169)</f>
        <v>23535</v>
      </c>
      <c r="F170" s="34">
        <f>SUM(F165:F169)</f>
        <v>854.5</v>
      </c>
      <c r="G170" s="35">
        <f>SUM(G165:G169)</f>
        <v>24389.5</v>
      </c>
      <c r="H170" s="35"/>
      <c r="I170" s="35">
        <f>SUM(I168:I169)</f>
        <v>204.75</v>
      </c>
      <c r="J170" s="35"/>
      <c r="K170" s="35">
        <f>SUM(K165:K169)</f>
        <v>5661.6</v>
      </c>
      <c r="L170" s="35">
        <f>SUM(L165:L169)</f>
        <v>20716.400000000001</v>
      </c>
      <c r="M170" s="35"/>
      <c r="N170" s="35"/>
      <c r="O170" s="35">
        <f>SUM(O165:O169)</f>
        <v>0</v>
      </c>
      <c r="P170" s="35">
        <f>SUM(P168:P169)</f>
        <v>3129.5</v>
      </c>
      <c r="Q170" s="35"/>
      <c r="R170" s="35">
        <f>SUM(R165:R169)</f>
        <v>54101.75</v>
      </c>
      <c r="S170" s="36">
        <f>SUM(S165:S169)</f>
        <v>324610.5</v>
      </c>
    </row>
    <row r="171" spans="1:20" s="13" customFormat="1" ht="23.4" customHeight="1" x14ac:dyDescent="0.2">
      <c r="A171" s="18"/>
      <c r="B171" s="55" t="s">
        <v>252</v>
      </c>
      <c r="C171" s="85"/>
      <c r="D171" s="85"/>
      <c r="E171" s="94"/>
      <c r="F171" s="85"/>
      <c r="G171" s="94"/>
      <c r="H171" s="94"/>
      <c r="I171" s="94"/>
      <c r="J171" s="94"/>
      <c r="K171" s="94"/>
      <c r="L171" s="94"/>
      <c r="M171" s="94"/>
      <c r="N171" s="94"/>
      <c r="O171" s="94"/>
      <c r="P171" s="94"/>
      <c r="Q171" s="94"/>
      <c r="R171" s="94"/>
      <c r="S171" s="110"/>
    </row>
    <row r="172" spans="1:20" s="13" customFormat="1" x14ac:dyDescent="0.25">
      <c r="A172" s="20" t="s">
        <v>253</v>
      </c>
      <c r="B172" s="21" t="s">
        <v>206</v>
      </c>
      <c r="C172" s="22">
        <v>1</v>
      </c>
      <c r="D172" s="22">
        <v>14</v>
      </c>
      <c r="E172" s="23">
        <f>8397*C172</f>
        <v>8397</v>
      </c>
      <c r="F172" s="22">
        <f>E172*0.1</f>
        <v>839.7</v>
      </c>
      <c r="G172" s="23">
        <f t="shared" ref="G172:G179" si="72">E172+F172</f>
        <v>9236.7000000000007</v>
      </c>
      <c r="H172" s="23"/>
      <c r="I172" s="23"/>
      <c r="J172" s="23"/>
      <c r="K172" s="23">
        <f>G172*0.3</f>
        <v>2771.01</v>
      </c>
      <c r="L172" s="23">
        <f>20000-G172-K172</f>
        <v>7992.2899999999991</v>
      </c>
      <c r="M172" s="23"/>
      <c r="N172" s="23"/>
      <c r="O172" s="23"/>
      <c r="P172" s="23"/>
      <c r="Q172" s="23"/>
      <c r="R172" s="23">
        <f>G172+K172+L172+O172</f>
        <v>20000</v>
      </c>
      <c r="S172" s="25">
        <f>R172*6</f>
        <v>120000</v>
      </c>
    </row>
    <row r="173" spans="1:20" s="13" customFormat="1" x14ac:dyDescent="0.25">
      <c r="A173" s="20" t="s">
        <v>254</v>
      </c>
      <c r="B173" s="21" t="s">
        <v>112</v>
      </c>
      <c r="C173" s="22">
        <v>0.5</v>
      </c>
      <c r="D173" s="22">
        <v>13</v>
      </c>
      <c r="E173" s="23">
        <f>7877*C173</f>
        <v>3938.5</v>
      </c>
      <c r="F173" s="22"/>
      <c r="G173" s="23">
        <f t="shared" si="72"/>
        <v>3938.5</v>
      </c>
      <c r="H173" s="23"/>
      <c r="I173" s="23"/>
      <c r="J173" s="23"/>
      <c r="K173" s="23">
        <f t="shared" ref="K173:K176" si="73">G173*0.3</f>
        <v>1181.55</v>
      </c>
      <c r="L173" s="23">
        <f>20000*C173-G173-K173</f>
        <v>4879.95</v>
      </c>
      <c r="M173" s="23"/>
      <c r="N173" s="23"/>
      <c r="O173" s="23"/>
      <c r="P173" s="23"/>
      <c r="Q173" s="23"/>
      <c r="R173" s="23">
        <f>G173+K173+L173+O173</f>
        <v>10000</v>
      </c>
      <c r="S173" s="25">
        <f t="shared" ref="S173:S178" si="74">R173*6</f>
        <v>60000</v>
      </c>
    </row>
    <row r="174" spans="1:20" x14ac:dyDescent="0.25">
      <c r="A174" s="20" t="s">
        <v>255</v>
      </c>
      <c r="B174" s="21" t="s">
        <v>171</v>
      </c>
      <c r="C174" s="22">
        <v>1</v>
      </c>
      <c r="D174" s="22">
        <v>11</v>
      </c>
      <c r="E174" s="23">
        <f>6836*C174</f>
        <v>6836</v>
      </c>
      <c r="F174" s="22"/>
      <c r="G174" s="23">
        <f t="shared" si="72"/>
        <v>6836</v>
      </c>
      <c r="H174" s="23"/>
      <c r="I174" s="23"/>
      <c r="J174" s="23"/>
      <c r="K174" s="23">
        <f t="shared" si="73"/>
        <v>2050.7999999999997</v>
      </c>
      <c r="L174" s="23">
        <f>20000-G174-K174</f>
        <v>11113.2</v>
      </c>
      <c r="M174" s="23"/>
      <c r="N174" s="23"/>
      <c r="O174" s="23"/>
      <c r="P174" s="23"/>
      <c r="Q174" s="23"/>
      <c r="R174" s="23">
        <f>G174+K174+L174+O174</f>
        <v>20000</v>
      </c>
      <c r="S174" s="25">
        <f t="shared" si="74"/>
        <v>120000</v>
      </c>
    </row>
    <row r="175" spans="1:20" x14ac:dyDescent="0.25">
      <c r="A175" s="20" t="s">
        <v>256</v>
      </c>
      <c r="B175" s="21" t="s">
        <v>212</v>
      </c>
      <c r="C175" s="22">
        <v>1</v>
      </c>
      <c r="D175" s="22">
        <v>10</v>
      </c>
      <c r="E175" s="23">
        <f>6315*C175</f>
        <v>6315</v>
      </c>
      <c r="F175" s="22"/>
      <c r="G175" s="23">
        <f t="shared" si="72"/>
        <v>6315</v>
      </c>
      <c r="H175" s="23"/>
      <c r="I175" s="23"/>
      <c r="J175" s="23"/>
      <c r="K175" s="23">
        <f t="shared" si="73"/>
        <v>1894.5</v>
      </c>
      <c r="L175" s="23">
        <f>13500-G175-K175</f>
        <v>5290.5</v>
      </c>
      <c r="M175" s="23"/>
      <c r="N175" s="23"/>
      <c r="O175" s="23"/>
      <c r="P175" s="23"/>
      <c r="Q175" s="23"/>
      <c r="R175" s="23">
        <f>G175+K175+L175</f>
        <v>13500</v>
      </c>
      <c r="S175" s="25">
        <f t="shared" si="74"/>
        <v>81000</v>
      </c>
    </row>
    <row r="176" spans="1:20" x14ac:dyDescent="0.25">
      <c r="A176" s="20" t="s">
        <v>257</v>
      </c>
      <c r="B176" s="21" t="s">
        <v>235</v>
      </c>
      <c r="C176" s="22">
        <v>2</v>
      </c>
      <c r="D176" s="22">
        <v>10</v>
      </c>
      <c r="E176" s="23">
        <f>5815*C176</f>
        <v>11630</v>
      </c>
      <c r="F176" s="22"/>
      <c r="G176" s="23">
        <f t="shared" si="72"/>
        <v>11630</v>
      </c>
      <c r="H176" s="23"/>
      <c r="I176" s="23"/>
      <c r="J176" s="23"/>
      <c r="K176" s="23">
        <f t="shared" si="73"/>
        <v>3489</v>
      </c>
      <c r="L176" s="23">
        <f>13500*C176-G176-K176</f>
        <v>11881</v>
      </c>
      <c r="M176" s="23"/>
      <c r="N176" s="23"/>
      <c r="O176" s="23"/>
      <c r="P176" s="23"/>
      <c r="Q176" s="23"/>
      <c r="R176" s="23">
        <f t="shared" ref="R176" si="75">G176+K176+L176</f>
        <v>27000</v>
      </c>
      <c r="S176" s="25">
        <f t="shared" si="74"/>
        <v>162000</v>
      </c>
    </row>
    <row r="177" spans="1:20" x14ac:dyDescent="0.25">
      <c r="A177" s="20" t="s">
        <v>258</v>
      </c>
      <c r="B177" s="21" t="s">
        <v>134</v>
      </c>
      <c r="C177" s="22">
        <v>1</v>
      </c>
      <c r="D177" s="22">
        <v>3</v>
      </c>
      <c r="E177" s="23">
        <f>4095*C177</f>
        <v>4095</v>
      </c>
      <c r="F177" s="22"/>
      <c r="G177" s="23">
        <f t="shared" si="72"/>
        <v>4095</v>
      </c>
      <c r="H177" s="23"/>
      <c r="I177" s="23">
        <f>G177*0.1</f>
        <v>409.5</v>
      </c>
      <c r="J177" s="23"/>
      <c r="K177" s="23"/>
      <c r="L177" s="23"/>
      <c r="M177" s="23"/>
      <c r="N177" s="23"/>
      <c r="O177" s="23"/>
      <c r="P177" s="23">
        <f>8647-G177</f>
        <v>4552</v>
      </c>
      <c r="Q177" s="23"/>
      <c r="R177" s="23">
        <f>G177+I177+P177</f>
        <v>9056.5</v>
      </c>
      <c r="S177" s="25">
        <f t="shared" si="74"/>
        <v>54339</v>
      </c>
      <c r="T177" s="53"/>
    </row>
    <row r="178" spans="1:20" s="38" customFormat="1" x14ac:dyDescent="0.25">
      <c r="A178" s="20" t="s">
        <v>260</v>
      </c>
      <c r="B178" s="21" t="s">
        <v>245</v>
      </c>
      <c r="C178" s="22">
        <v>0.5</v>
      </c>
      <c r="D178" s="22">
        <v>5</v>
      </c>
      <c r="E178" s="23">
        <f>4719*C178</f>
        <v>2359.5</v>
      </c>
      <c r="F178" s="22"/>
      <c r="G178" s="23">
        <f t="shared" si="72"/>
        <v>2359.5</v>
      </c>
      <c r="H178" s="23"/>
      <c r="I178" s="23"/>
      <c r="J178" s="23"/>
      <c r="K178" s="23"/>
      <c r="L178" s="23"/>
      <c r="M178" s="23"/>
      <c r="N178" s="23"/>
      <c r="O178" s="23"/>
      <c r="P178" s="23">
        <f>8647/2-G178</f>
        <v>1964</v>
      </c>
      <c r="Q178" s="23"/>
      <c r="R178" s="23">
        <f>SUM(G178:Q178)</f>
        <v>4323.5</v>
      </c>
      <c r="S178" s="25">
        <f t="shared" si="74"/>
        <v>25941</v>
      </c>
    </row>
    <row r="179" spans="1:20" s="49" customFormat="1" ht="67.2" customHeight="1" thickBot="1" x14ac:dyDescent="0.3">
      <c r="A179" s="64"/>
      <c r="B179" s="47" t="s">
        <v>59</v>
      </c>
      <c r="C179" s="34">
        <f>SUM(C172:C178)</f>
        <v>7</v>
      </c>
      <c r="D179" s="34"/>
      <c r="E179" s="35">
        <f>SUM(E172:E178)</f>
        <v>43571</v>
      </c>
      <c r="F179" s="34">
        <f>SUM(F172:F178)</f>
        <v>839.7</v>
      </c>
      <c r="G179" s="35">
        <f t="shared" si="72"/>
        <v>44410.7</v>
      </c>
      <c r="H179" s="35"/>
      <c r="I179" s="35">
        <f>SUM(I177:I178)</f>
        <v>409.5</v>
      </c>
      <c r="J179" s="35"/>
      <c r="K179" s="35">
        <f>SUM(K172:K178)</f>
        <v>11386.86</v>
      </c>
      <c r="L179" s="35">
        <f>SUM(L172:L178)</f>
        <v>41156.94</v>
      </c>
      <c r="M179" s="35"/>
      <c r="N179" s="35"/>
      <c r="O179" s="35">
        <f>SUM(O172:O178)</f>
        <v>0</v>
      </c>
      <c r="P179" s="35">
        <f>SUM(P172:P178)</f>
        <v>6516</v>
      </c>
      <c r="Q179" s="35"/>
      <c r="R179" s="35">
        <f>SUM(R172:R178)</f>
        <v>103880</v>
      </c>
      <c r="S179" s="36">
        <f>SUM(S172:S178)</f>
        <v>623280</v>
      </c>
    </row>
    <row r="180" spans="1:20" s="13" customFormat="1" ht="22.8" customHeight="1" x14ac:dyDescent="0.2">
      <c r="A180" s="18"/>
      <c r="B180" s="55" t="s">
        <v>259</v>
      </c>
      <c r="C180" s="85"/>
      <c r="D180" s="85"/>
      <c r="E180" s="94"/>
      <c r="F180" s="85"/>
      <c r="G180" s="94"/>
      <c r="H180" s="94"/>
      <c r="I180" s="94"/>
      <c r="J180" s="94"/>
      <c r="K180" s="94"/>
      <c r="L180" s="94"/>
      <c r="M180" s="94"/>
      <c r="N180" s="94"/>
      <c r="O180" s="94"/>
      <c r="P180" s="94"/>
      <c r="Q180" s="94"/>
      <c r="R180" s="94"/>
      <c r="S180" s="110"/>
    </row>
    <row r="181" spans="1:20" s="13" customFormat="1" x14ac:dyDescent="0.25">
      <c r="A181" s="20" t="s">
        <v>261</v>
      </c>
      <c r="B181" s="21" t="s">
        <v>206</v>
      </c>
      <c r="C181" s="22">
        <v>0.75</v>
      </c>
      <c r="D181" s="22">
        <v>14</v>
      </c>
      <c r="E181" s="23">
        <f>8397*C181</f>
        <v>6297.75</v>
      </c>
      <c r="F181" s="22">
        <f>E181*0.1</f>
        <v>629.77500000000009</v>
      </c>
      <c r="G181" s="23">
        <f t="shared" ref="G181:G184" si="76">E181+F181</f>
        <v>6927.5249999999996</v>
      </c>
      <c r="H181" s="23"/>
      <c r="I181" s="23"/>
      <c r="J181" s="23"/>
      <c r="K181" s="23"/>
      <c r="L181" s="23">
        <f>20000*C181-G181</f>
        <v>8072.4750000000004</v>
      </c>
      <c r="M181" s="23"/>
      <c r="N181" s="23"/>
      <c r="O181" s="23"/>
      <c r="P181" s="23"/>
      <c r="Q181" s="23"/>
      <c r="R181" s="23">
        <f>SUM(G181:Q181)</f>
        <v>15000</v>
      </c>
      <c r="S181" s="25">
        <f>R181*6</f>
        <v>90000</v>
      </c>
    </row>
    <row r="182" spans="1:20" x14ac:dyDescent="0.25">
      <c r="A182" s="20" t="s">
        <v>262</v>
      </c>
      <c r="B182" s="21" t="s">
        <v>235</v>
      </c>
      <c r="C182" s="22">
        <v>1</v>
      </c>
      <c r="D182" s="22">
        <v>10</v>
      </c>
      <c r="E182" s="23">
        <f>6315*C182</f>
        <v>6315</v>
      </c>
      <c r="F182" s="22"/>
      <c r="G182" s="23">
        <f t="shared" si="76"/>
        <v>6315</v>
      </c>
      <c r="H182" s="23"/>
      <c r="I182" s="23"/>
      <c r="J182" s="23"/>
      <c r="K182" s="23">
        <f>G182*0.3</f>
        <v>1894.5</v>
      </c>
      <c r="L182" s="23">
        <f>13500-G182-K182</f>
        <v>5290.5</v>
      </c>
      <c r="M182" s="23"/>
      <c r="N182" s="23"/>
      <c r="O182" s="23"/>
      <c r="P182" s="23"/>
      <c r="Q182" s="23"/>
      <c r="R182" s="23">
        <f>G182+K182+L182</f>
        <v>13500</v>
      </c>
      <c r="S182" s="25">
        <f t="shared" ref="S182:S183" si="77">R182*6</f>
        <v>81000</v>
      </c>
      <c r="T182" s="53"/>
    </row>
    <row r="183" spans="1:20" s="38" customFormat="1" x14ac:dyDescent="0.25">
      <c r="A183" s="20" t="s">
        <v>264</v>
      </c>
      <c r="B183" s="21" t="s">
        <v>134</v>
      </c>
      <c r="C183" s="22">
        <v>1</v>
      </c>
      <c r="D183" s="22">
        <v>3</v>
      </c>
      <c r="E183" s="23">
        <f>4095*C183</f>
        <v>4095</v>
      </c>
      <c r="F183" s="22"/>
      <c r="G183" s="23">
        <f t="shared" si="76"/>
        <v>4095</v>
      </c>
      <c r="H183" s="23"/>
      <c r="I183" s="23">
        <f>G183*0.1</f>
        <v>409.5</v>
      </c>
      <c r="J183" s="23"/>
      <c r="K183" s="23"/>
      <c r="L183" s="23"/>
      <c r="M183" s="23"/>
      <c r="N183" s="23"/>
      <c r="O183" s="23"/>
      <c r="P183" s="23">
        <f>8647-G183</f>
        <v>4552</v>
      </c>
      <c r="Q183" s="23"/>
      <c r="R183" s="23">
        <f>G183+I183+P183</f>
        <v>9056.5</v>
      </c>
      <c r="S183" s="25">
        <f t="shared" si="77"/>
        <v>54339</v>
      </c>
    </row>
    <row r="184" spans="1:20" s="49" customFormat="1" ht="23.4" customHeight="1" thickBot="1" x14ac:dyDescent="0.3">
      <c r="A184" s="64"/>
      <c r="B184" s="47" t="s">
        <v>59</v>
      </c>
      <c r="C184" s="34">
        <f>SUM(C181:C183)</f>
        <v>2.75</v>
      </c>
      <c r="D184" s="34"/>
      <c r="E184" s="35">
        <f>SUM(E181:E183)</f>
        <v>16707.75</v>
      </c>
      <c r="F184" s="34">
        <f>SUM(F181:F183)</f>
        <v>629.77500000000009</v>
      </c>
      <c r="G184" s="35">
        <f t="shared" si="76"/>
        <v>17337.525000000001</v>
      </c>
      <c r="H184" s="35"/>
      <c r="I184" s="35">
        <f>SUM(I183)</f>
        <v>409.5</v>
      </c>
      <c r="J184" s="35"/>
      <c r="K184" s="35">
        <f>K182</f>
        <v>1894.5</v>
      </c>
      <c r="L184" s="35">
        <f>L181+L182</f>
        <v>13362.975</v>
      </c>
      <c r="M184" s="35">
        <f>M181</f>
        <v>0</v>
      </c>
      <c r="N184" s="35"/>
      <c r="O184" s="35"/>
      <c r="P184" s="35">
        <f>SUM(P183)</f>
        <v>4552</v>
      </c>
      <c r="Q184" s="35"/>
      <c r="R184" s="35">
        <f>SUM(R181:R183)</f>
        <v>37556.5</v>
      </c>
      <c r="S184" s="36">
        <f>SUM(S181:S183)</f>
        <v>225339</v>
      </c>
    </row>
    <row r="185" spans="1:20" ht="21" customHeight="1" x14ac:dyDescent="0.25">
      <c r="A185" s="15"/>
      <c r="B185" s="55" t="s">
        <v>312</v>
      </c>
      <c r="C185" s="85"/>
      <c r="D185" s="85"/>
      <c r="E185" s="94"/>
      <c r="F185" s="85"/>
      <c r="G185" s="94"/>
      <c r="H185" s="94"/>
      <c r="I185" s="94"/>
      <c r="J185" s="94"/>
      <c r="K185" s="94"/>
      <c r="L185" s="94"/>
      <c r="M185" s="94"/>
      <c r="N185" s="94"/>
      <c r="O185" s="94"/>
      <c r="P185" s="94"/>
      <c r="Q185" s="94"/>
      <c r="R185" s="94"/>
      <c r="S185" s="110"/>
    </row>
    <row r="186" spans="1:20" ht="24.6" customHeight="1" x14ac:dyDescent="0.25">
      <c r="A186" s="20"/>
      <c r="B186" s="44" t="s">
        <v>263</v>
      </c>
      <c r="C186" s="22"/>
      <c r="D186" s="22"/>
      <c r="E186" s="23"/>
      <c r="F186" s="22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5"/>
    </row>
    <row r="187" spans="1:20" x14ac:dyDescent="0.25">
      <c r="A187" s="20" t="s">
        <v>264</v>
      </c>
      <c r="B187" s="21" t="s">
        <v>220</v>
      </c>
      <c r="C187" s="22">
        <v>0.5</v>
      </c>
      <c r="D187" s="22">
        <v>10</v>
      </c>
      <c r="E187" s="23">
        <f>6315*C187</f>
        <v>3157.5</v>
      </c>
      <c r="F187" s="22"/>
      <c r="G187" s="23">
        <f t="shared" ref="G187:G190" si="78">E187+F187</f>
        <v>3157.5</v>
      </c>
      <c r="H187" s="23"/>
      <c r="I187" s="23"/>
      <c r="J187" s="23"/>
      <c r="K187" s="23">
        <f>G187*0.3</f>
        <v>947.25</v>
      </c>
      <c r="L187" s="23">
        <f>R187-K187-G187</f>
        <v>2645.25</v>
      </c>
      <c r="M187" s="23"/>
      <c r="N187" s="23"/>
      <c r="O187" s="23"/>
      <c r="P187" s="23"/>
      <c r="Q187" s="23"/>
      <c r="R187" s="23">
        <v>6750</v>
      </c>
      <c r="S187" s="25">
        <f>R187*6</f>
        <v>40500</v>
      </c>
    </row>
    <row r="188" spans="1:20" x14ac:dyDescent="0.25">
      <c r="A188" s="20" t="s">
        <v>265</v>
      </c>
      <c r="B188" s="21" t="s">
        <v>134</v>
      </c>
      <c r="C188" s="22">
        <v>0.25</v>
      </c>
      <c r="D188" s="22">
        <v>3</v>
      </c>
      <c r="E188" s="23">
        <f>4095*C188</f>
        <v>1023.75</v>
      </c>
      <c r="F188" s="22"/>
      <c r="G188" s="23">
        <f t="shared" si="78"/>
        <v>1023.75</v>
      </c>
      <c r="H188" s="23"/>
      <c r="I188" s="23">
        <f>G188*0.1</f>
        <v>102.375</v>
      </c>
      <c r="J188" s="23"/>
      <c r="K188" s="23"/>
      <c r="L188" s="23"/>
      <c r="M188" s="23"/>
      <c r="N188" s="23"/>
      <c r="O188" s="23"/>
      <c r="P188" s="23">
        <f>8647*0.25-G188</f>
        <v>1138</v>
      </c>
      <c r="Q188" s="23"/>
      <c r="R188" s="23">
        <f>E188+I188+P188</f>
        <v>2264.125</v>
      </c>
      <c r="S188" s="25">
        <f t="shared" ref="S188:S189" si="79">R188*6</f>
        <v>13584.75</v>
      </c>
    </row>
    <row r="189" spans="1:20" s="38" customFormat="1" x14ac:dyDescent="0.25">
      <c r="A189" s="20" t="s">
        <v>266</v>
      </c>
      <c r="B189" s="21" t="s">
        <v>267</v>
      </c>
      <c r="C189" s="22">
        <v>0.25</v>
      </c>
      <c r="D189" s="22">
        <v>1</v>
      </c>
      <c r="E189" s="23">
        <f>3470*C189</f>
        <v>867.5</v>
      </c>
      <c r="F189" s="22"/>
      <c r="G189" s="23">
        <f t="shared" si="78"/>
        <v>867.5</v>
      </c>
      <c r="H189" s="23"/>
      <c r="I189" s="23"/>
      <c r="J189" s="23"/>
      <c r="K189" s="23"/>
      <c r="L189" s="23"/>
      <c r="M189" s="23"/>
      <c r="N189" s="23"/>
      <c r="O189" s="23"/>
      <c r="P189" s="23">
        <f>8647*0.25-G189</f>
        <v>1294.25</v>
      </c>
      <c r="Q189" s="23"/>
      <c r="R189" s="23">
        <f>E189+P189</f>
        <v>2161.75</v>
      </c>
      <c r="S189" s="25">
        <f>R189*3</f>
        <v>6485.25</v>
      </c>
    </row>
    <row r="190" spans="1:20" s="27" customFormat="1" ht="24" customHeight="1" thickBot="1" x14ac:dyDescent="0.3">
      <c r="A190" s="112"/>
      <c r="B190" s="113" t="s">
        <v>59</v>
      </c>
      <c r="C190" s="114">
        <f>C187+C188+C189</f>
        <v>1</v>
      </c>
      <c r="D190" s="114"/>
      <c r="E190" s="115">
        <f>E187+E188+E189</f>
        <v>5048.75</v>
      </c>
      <c r="F190" s="114"/>
      <c r="G190" s="115">
        <f t="shared" si="78"/>
        <v>5048.75</v>
      </c>
      <c r="H190" s="115"/>
      <c r="I190" s="115">
        <f>SUM(I188)</f>
        <v>102.375</v>
      </c>
      <c r="J190" s="115"/>
      <c r="K190" s="115">
        <f>SUM(K187:K188)</f>
        <v>947.25</v>
      </c>
      <c r="L190" s="115">
        <f>SUM(L187:L188)</f>
        <v>2645.25</v>
      </c>
      <c r="M190" s="115"/>
      <c r="N190" s="115"/>
      <c r="O190" s="115"/>
      <c r="P190" s="115">
        <f>P188+P189</f>
        <v>2432.25</v>
      </c>
      <c r="Q190" s="115"/>
      <c r="R190" s="115">
        <f>SUM(R187:R189)</f>
        <v>11175.875</v>
      </c>
      <c r="S190" s="116">
        <f>SUM(S187:S189)</f>
        <v>60570</v>
      </c>
    </row>
    <row r="191" spans="1:20" s="13" customFormat="1" ht="20.399999999999999" customHeight="1" x14ac:dyDescent="0.2">
      <c r="A191" s="18"/>
      <c r="B191" s="55" t="s">
        <v>268</v>
      </c>
      <c r="C191" s="85"/>
      <c r="D191" s="85"/>
      <c r="E191" s="94"/>
      <c r="F191" s="85"/>
      <c r="G191" s="94"/>
      <c r="H191" s="94"/>
      <c r="I191" s="94"/>
      <c r="J191" s="94"/>
      <c r="K191" s="94"/>
      <c r="L191" s="94"/>
      <c r="M191" s="94"/>
      <c r="N191" s="94"/>
      <c r="O191" s="94"/>
      <c r="P191" s="94"/>
      <c r="Q191" s="94"/>
      <c r="R191" s="94"/>
      <c r="S191" s="110"/>
    </row>
    <row r="192" spans="1:20" x14ac:dyDescent="0.25">
      <c r="A192" s="20" t="s">
        <v>269</v>
      </c>
      <c r="B192" s="21" t="s">
        <v>220</v>
      </c>
      <c r="C192" s="22">
        <v>0.5</v>
      </c>
      <c r="D192" s="22">
        <v>9</v>
      </c>
      <c r="E192" s="23">
        <f>6003*C192</f>
        <v>3001.5</v>
      </c>
      <c r="F192" s="22"/>
      <c r="G192" s="23">
        <f t="shared" ref="G192:G195" si="80">E192+F192</f>
        <v>3001.5</v>
      </c>
      <c r="H192" s="23"/>
      <c r="I192" s="23"/>
      <c r="J192" s="23"/>
      <c r="K192" s="23">
        <f>G192*0.3</f>
        <v>900.44999999999993</v>
      </c>
      <c r="L192" s="23">
        <f>6750-G192-K192</f>
        <v>2848.05</v>
      </c>
      <c r="M192" s="23"/>
      <c r="N192" s="23"/>
      <c r="O192" s="23"/>
      <c r="P192" s="23"/>
      <c r="Q192" s="23"/>
      <c r="R192" s="23">
        <f>G192+K192+L192</f>
        <v>6750</v>
      </c>
      <c r="S192" s="25">
        <f>R192*6</f>
        <v>40500</v>
      </c>
    </row>
    <row r="193" spans="1:20" x14ac:dyDescent="0.25">
      <c r="A193" s="20" t="s">
        <v>270</v>
      </c>
      <c r="B193" s="21" t="s">
        <v>134</v>
      </c>
      <c r="C193" s="22">
        <v>0.25</v>
      </c>
      <c r="D193" s="22">
        <v>3</v>
      </c>
      <c r="E193" s="23">
        <f>4095*C193</f>
        <v>1023.75</v>
      </c>
      <c r="F193" s="22"/>
      <c r="G193" s="23">
        <f t="shared" si="80"/>
        <v>1023.75</v>
      </c>
      <c r="H193" s="23"/>
      <c r="I193" s="23">
        <f>G193*0.1</f>
        <v>102.375</v>
      </c>
      <c r="J193" s="23"/>
      <c r="K193" s="23"/>
      <c r="L193" s="23"/>
      <c r="M193" s="23"/>
      <c r="N193" s="23"/>
      <c r="O193" s="23"/>
      <c r="P193" s="23">
        <f>8647*0.25-G193</f>
        <v>1138</v>
      </c>
      <c r="Q193" s="23"/>
      <c r="R193" s="23">
        <f>E193+I193+P193</f>
        <v>2264.125</v>
      </c>
      <c r="S193" s="25">
        <f>R193*6</f>
        <v>13584.75</v>
      </c>
    </row>
    <row r="194" spans="1:20" s="38" customFormat="1" x14ac:dyDescent="0.25">
      <c r="A194" s="20" t="s">
        <v>271</v>
      </c>
      <c r="B194" s="21" t="s">
        <v>227</v>
      </c>
      <c r="C194" s="22">
        <v>0.5</v>
      </c>
      <c r="D194" s="22">
        <v>1</v>
      </c>
      <c r="E194" s="23">
        <f>3470*C194</f>
        <v>1735</v>
      </c>
      <c r="F194" s="22"/>
      <c r="G194" s="23">
        <f t="shared" si="80"/>
        <v>1735</v>
      </c>
      <c r="H194" s="23"/>
      <c r="I194" s="23"/>
      <c r="J194" s="23"/>
      <c r="K194" s="23"/>
      <c r="L194" s="23"/>
      <c r="M194" s="23"/>
      <c r="N194" s="23"/>
      <c r="O194" s="23"/>
      <c r="P194" s="23">
        <f>8647/2-G194</f>
        <v>2588.5</v>
      </c>
      <c r="Q194" s="23"/>
      <c r="R194" s="23">
        <f>E194+P194</f>
        <v>4323.5</v>
      </c>
      <c r="S194" s="25">
        <f>R194*3</f>
        <v>12970.5</v>
      </c>
    </row>
    <row r="195" spans="1:20" s="27" customFormat="1" ht="27.6" customHeight="1" thickBot="1" x14ac:dyDescent="0.3">
      <c r="A195" s="64"/>
      <c r="B195" s="47" t="s">
        <v>59</v>
      </c>
      <c r="C195" s="34">
        <f>C192+C193+C194</f>
        <v>1.25</v>
      </c>
      <c r="D195" s="34"/>
      <c r="E195" s="35">
        <f>E192+E193+E194</f>
        <v>5760.25</v>
      </c>
      <c r="F195" s="34"/>
      <c r="G195" s="35">
        <f t="shared" si="80"/>
        <v>5760.25</v>
      </c>
      <c r="H195" s="35"/>
      <c r="I195" s="35">
        <f>SUM(I192:I193)</f>
        <v>102.375</v>
      </c>
      <c r="J195" s="35"/>
      <c r="K195" s="35">
        <f>SUM(K192:K194)</f>
        <v>900.44999999999993</v>
      </c>
      <c r="L195" s="35">
        <f>SUM(L191:L193)</f>
        <v>2848.05</v>
      </c>
      <c r="M195" s="35"/>
      <c r="N195" s="35"/>
      <c r="O195" s="35"/>
      <c r="P195" s="35">
        <f>P193+P194</f>
        <v>3726.5</v>
      </c>
      <c r="Q195" s="35"/>
      <c r="R195" s="35">
        <f>SUM(R192:R194)</f>
        <v>13337.625</v>
      </c>
      <c r="S195" s="36">
        <f>SUM(S192:S194)</f>
        <v>67055.25</v>
      </c>
    </row>
    <row r="196" spans="1:20" ht="22.8" customHeight="1" x14ac:dyDescent="0.25">
      <c r="A196" s="57"/>
      <c r="B196" s="111" t="s">
        <v>272</v>
      </c>
      <c r="C196" s="91"/>
      <c r="D196" s="91"/>
      <c r="E196" s="51"/>
      <c r="F196" s="9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141"/>
      <c r="T196" s="142"/>
    </row>
    <row r="197" spans="1:20" x14ac:dyDescent="0.25">
      <c r="A197" s="20" t="s">
        <v>273</v>
      </c>
      <c r="B197" s="21" t="s">
        <v>130</v>
      </c>
      <c r="C197" s="22">
        <v>1</v>
      </c>
      <c r="D197" s="22">
        <v>10</v>
      </c>
      <c r="E197" s="23">
        <f>6315*C197</f>
        <v>6315</v>
      </c>
      <c r="F197" s="22"/>
      <c r="G197" s="23">
        <f t="shared" ref="G197:G200" si="81">E197+F197</f>
        <v>6315</v>
      </c>
      <c r="H197" s="23"/>
      <c r="I197" s="23"/>
      <c r="J197" s="23"/>
      <c r="K197" s="23">
        <f>G197*0.3</f>
        <v>1894.5</v>
      </c>
      <c r="L197" s="23">
        <f>13500-G197-K197</f>
        <v>5290.5</v>
      </c>
      <c r="M197" s="23"/>
      <c r="N197" s="23"/>
      <c r="O197" s="23"/>
      <c r="P197" s="23"/>
      <c r="Q197" s="23"/>
      <c r="R197" s="23">
        <f>G197+K197+L197</f>
        <v>13500</v>
      </c>
      <c r="S197" s="25">
        <f>R197*6</f>
        <v>81000</v>
      </c>
    </row>
    <row r="198" spans="1:20" x14ac:dyDescent="0.25">
      <c r="A198" s="20" t="s">
        <v>274</v>
      </c>
      <c r="B198" s="21" t="s">
        <v>134</v>
      </c>
      <c r="C198" s="22">
        <v>0.25</v>
      </c>
      <c r="D198" s="22">
        <v>3</v>
      </c>
      <c r="E198" s="23">
        <f>4095*C198</f>
        <v>1023.75</v>
      </c>
      <c r="F198" s="22"/>
      <c r="G198" s="23">
        <f t="shared" si="81"/>
        <v>1023.75</v>
      </c>
      <c r="H198" s="23"/>
      <c r="I198" s="23">
        <f>G198*0.1</f>
        <v>102.375</v>
      </c>
      <c r="J198" s="23"/>
      <c r="K198" s="23"/>
      <c r="L198" s="23"/>
      <c r="M198" s="23"/>
      <c r="N198" s="23"/>
      <c r="O198" s="23"/>
      <c r="P198" s="23">
        <f>8647*0.25-G198</f>
        <v>1138</v>
      </c>
      <c r="Q198" s="23"/>
      <c r="R198" s="23">
        <f>E198+I198+P198</f>
        <v>2264.125</v>
      </c>
      <c r="S198" s="25">
        <f>R198*6</f>
        <v>13584.75</v>
      </c>
    </row>
    <row r="199" spans="1:20" s="38" customFormat="1" x14ac:dyDescent="0.25">
      <c r="A199" s="20" t="s">
        <v>275</v>
      </c>
      <c r="B199" s="21" t="s">
        <v>267</v>
      </c>
      <c r="C199" s="22">
        <v>0.25</v>
      </c>
      <c r="D199" s="22">
        <v>1</v>
      </c>
      <c r="E199" s="23">
        <f>3470*C199</f>
        <v>867.5</v>
      </c>
      <c r="F199" s="22"/>
      <c r="G199" s="23">
        <f t="shared" si="81"/>
        <v>867.5</v>
      </c>
      <c r="H199" s="23"/>
      <c r="I199" s="23"/>
      <c r="J199" s="23"/>
      <c r="K199" s="23"/>
      <c r="L199" s="23"/>
      <c r="M199" s="23"/>
      <c r="N199" s="23"/>
      <c r="O199" s="23"/>
      <c r="P199" s="23">
        <f>8647*0.25-G199</f>
        <v>1294.25</v>
      </c>
      <c r="Q199" s="23"/>
      <c r="R199" s="23">
        <f>E199+P199</f>
        <v>2161.75</v>
      </c>
      <c r="S199" s="25">
        <f>R199*3</f>
        <v>6485.25</v>
      </c>
    </row>
    <row r="200" spans="1:20" s="27" customFormat="1" ht="26.4" customHeight="1" thickBot="1" x14ac:dyDescent="0.3">
      <c r="A200" s="64"/>
      <c r="B200" s="47" t="s">
        <v>59</v>
      </c>
      <c r="C200" s="34">
        <f>SUM(C197:C199)</f>
        <v>1.5</v>
      </c>
      <c r="D200" s="34"/>
      <c r="E200" s="35">
        <f>SUM(E197:E199)</f>
        <v>8206.25</v>
      </c>
      <c r="F200" s="34">
        <f>SUM(F197:F199)</f>
        <v>0</v>
      </c>
      <c r="G200" s="35">
        <f t="shared" si="81"/>
        <v>8206.25</v>
      </c>
      <c r="H200" s="35"/>
      <c r="I200" s="35">
        <f>SUM(I198:I199)</f>
        <v>102.375</v>
      </c>
      <c r="J200" s="35"/>
      <c r="K200" s="35">
        <f>SUM(K197:K199)</f>
        <v>1894.5</v>
      </c>
      <c r="L200" s="35">
        <f>SUM(L197:L199)</f>
        <v>5290.5</v>
      </c>
      <c r="M200" s="35"/>
      <c r="N200" s="35"/>
      <c r="O200" s="35"/>
      <c r="P200" s="35">
        <f>P198+P199</f>
        <v>2432.25</v>
      </c>
      <c r="Q200" s="35"/>
      <c r="R200" s="35">
        <f>SUM(R197:R199)</f>
        <v>17925.875</v>
      </c>
      <c r="S200" s="36">
        <f>SUM(S197:S199)</f>
        <v>101070</v>
      </c>
    </row>
    <row r="201" spans="1:20" ht="22.2" customHeight="1" x14ac:dyDescent="0.25">
      <c r="A201" s="15"/>
      <c r="B201" s="55" t="s">
        <v>276</v>
      </c>
      <c r="C201" s="85"/>
      <c r="D201" s="85"/>
      <c r="E201" s="94"/>
      <c r="F201" s="85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110"/>
    </row>
    <row r="202" spans="1:20" x14ac:dyDescent="0.25">
      <c r="A202" s="20" t="s">
        <v>277</v>
      </c>
      <c r="B202" s="21" t="s">
        <v>220</v>
      </c>
      <c r="C202" s="22">
        <v>1</v>
      </c>
      <c r="D202" s="22">
        <v>10</v>
      </c>
      <c r="E202" s="23">
        <f>6315*C202</f>
        <v>6315</v>
      </c>
      <c r="F202" s="22"/>
      <c r="G202" s="23">
        <f t="shared" ref="G202:G205" si="82">E202+F202</f>
        <v>6315</v>
      </c>
      <c r="H202" s="23"/>
      <c r="I202" s="23"/>
      <c r="J202" s="23"/>
      <c r="K202" s="23">
        <f>G202*0.3</f>
        <v>1894.5</v>
      </c>
      <c r="L202" s="23">
        <f>13500-G202-K202</f>
        <v>5290.5</v>
      </c>
      <c r="M202" s="23"/>
      <c r="N202" s="23"/>
      <c r="O202" s="23"/>
      <c r="P202" s="23"/>
      <c r="Q202" s="23"/>
      <c r="R202" s="23">
        <f>G202+K202+L202</f>
        <v>13500</v>
      </c>
      <c r="S202" s="25">
        <f>R202*6</f>
        <v>81000</v>
      </c>
    </row>
    <row r="203" spans="1:20" x14ac:dyDescent="0.25">
      <c r="A203" s="20" t="s">
        <v>278</v>
      </c>
      <c r="B203" s="21" t="s">
        <v>134</v>
      </c>
      <c r="C203" s="22">
        <v>0.25</v>
      </c>
      <c r="D203" s="22">
        <v>3</v>
      </c>
      <c r="E203" s="23">
        <f>4095*C203</f>
        <v>1023.75</v>
      </c>
      <c r="F203" s="22"/>
      <c r="G203" s="23">
        <f t="shared" si="82"/>
        <v>1023.75</v>
      </c>
      <c r="H203" s="23"/>
      <c r="I203" s="23">
        <f>G203*0.1</f>
        <v>102.375</v>
      </c>
      <c r="J203" s="23"/>
      <c r="K203" s="23"/>
      <c r="L203" s="23"/>
      <c r="M203" s="23"/>
      <c r="N203" s="23"/>
      <c r="O203" s="23"/>
      <c r="P203" s="23">
        <f>8647*0.25-G203</f>
        <v>1138</v>
      </c>
      <c r="Q203" s="23"/>
      <c r="R203" s="23">
        <f>E203+I203+P203</f>
        <v>2264.125</v>
      </c>
      <c r="S203" s="25">
        <f>R203*6</f>
        <v>13584.75</v>
      </c>
    </row>
    <row r="204" spans="1:20" s="38" customFormat="1" x14ac:dyDescent="0.25">
      <c r="A204" s="20" t="s">
        <v>279</v>
      </c>
      <c r="B204" s="21" t="s">
        <v>267</v>
      </c>
      <c r="C204" s="22">
        <v>0.25</v>
      </c>
      <c r="D204" s="22">
        <v>1</v>
      </c>
      <c r="E204" s="23">
        <f>3470*C204</f>
        <v>867.5</v>
      </c>
      <c r="F204" s="22"/>
      <c r="G204" s="23">
        <f t="shared" si="82"/>
        <v>867.5</v>
      </c>
      <c r="H204" s="23"/>
      <c r="I204" s="23"/>
      <c r="J204" s="23"/>
      <c r="K204" s="23"/>
      <c r="L204" s="23"/>
      <c r="M204" s="23"/>
      <c r="N204" s="23"/>
      <c r="O204" s="23"/>
      <c r="P204" s="23">
        <f>8647*0.25-G204</f>
        <v>1294.25</v>
      </c>
      <c r="Q204" s="23"/>
      <c r="R204" s="23">
        <f>E204+P204</f>
        <v>2161.75</v>
      </c>
      <c r="S204" s="25">
        <f>R204*3</f>
        <v>6485.25</v>
      </c>
    </row>
    <row r="205" spans="1:20" s="27" customFormat="1" ht="28.2" customHeight="1" thickBot="1" x14ac:dyDescent="0.3">
      <c r="A205" s="64"/>
      <c r="B205" s="47" t="s">
        <v>59</v>
      </c>
      <c r="C205" s="34">
        <f>SUM(C202:C204)</f>
        <v>1.5</v>
      </c>
      <c r="D205" s="34"/>
      <c r="E205" s="35">
        <f>SUM(E202:E204)</f>
        <v>8206.25</v>
      </c>
      <c r="F205" s="34">
        <f>SUM(F202:F204)</f>
        <v>0</v>
      </c>
      <c r="G205" s="35">
        <f t="shared" si="82"/>
        <v>8206.25</v>
      </c>
      <c r="H205" s="35"/>
      <c r="I205" s="35">
        <f>SUM(I203:I204)</f>
        <v>102.375</v>
      </c>
      <c r="J205" s="35"/>
      <c r="K205" s="35">
        <f>K202</f>
        <v>1894.5</v>
      </c>
      <c r="L205" s="35">
        <f>SUM(L202:L204)</f>
        <v>5290.5</v>
      </c>
      <c r="M205" s="35"/>
      <c r="N205" s="35"/>
      <c r="O205" s="35"/>
      <c r="P205" s="35">
        <f>P203+P204</f>
        <v>2432.25</v>
      </c>
      <c r="Q205" s="35"/>
      <c r="R205" s="35">
        <f>SUM(R202:R204)</f>
        <v>17925.875</v>
      </c>
      <c r="S205" s="36">
        <f>SUM(S202:S204)</f>
        <v>101070</v>
      </c>
    </row>
    <row r="206" spans="1:20" ht="24" customHeight="1" x14ac:dyDescent="0.25">
      <c r="A206" s="15"/>
      <c r="B206" s="55" t="s">
        <v>280</v>
      </c>
      <c r="C206" s="85"/>
      <c r="D206" s="85"/>
      <c r="E206" s="94"/>
      <c r="F206" s="85"/>
      <c r="G206" s="94"/>
      <c r="H206" s="94"/>
      <c r="I206" s="94"/>
      <c r="J206" s="94"/>
      <c r="K206" s="94"/>
      <c r="L206" s="94"/>
      <c r="M206" s="94"/>
      <c r="N206" s="94"/>
      <c r="O206" s="94"/>
      <c r="P206" s="94"/>
      <c r="Q206" s="94"/>
      <c r="R206" s="94"/>
      <c r="S206" s="110"/>
    </row>
    <row r="207" spans="1:20" x14ac:dyDescent="0.25">
      <c r="A207" s="20" t="s">
        <v>281</v>
      </c>
      <c r="B207" s="21" t="s">
        <v>130</v>
      </c>
      <c r="C207" s="22">
        <v>0.5</v>
      </c>
      <c r="D207" s="22">
        <v>8</v>
      </c>
      <c r="E207" s="23">
        <f>5691*C207</f>
        <v>2845.5</v>
      </c>
      <c r="F207" s="22"/>
      <c r="G207" s="23">
        <f t="shared" ref="G207:G209" si="83">E207+F207</f>
        <v>2845.5</v>
      </c>
      <c r="H207" s="23"/>
      <c r="I207" s="23"/>
      <c r="J207" s="23"/>
      <c r="K207" s="23">
        <f>G207*0.3</f>
        <v>853.65</v>
      </c>
      <c r="L207" s="23">
        <f>R207-K207-G207</f>
        <v>3050.8500000000004</v>
      </c>
      <c r="M207" s="23"/>
      <c r="N207" s="23"/>
      <c r="O207" s="23"/>
      <c r="P207" s="23"/>
      <c r="Q207" s="23"/>
      <c r="R207" s="23">
        <v>6750</v>
      </c>
      <c r="S207" s="25">
        <f>R207*6</f>
        <v>40500</v>
      </c>
    </row>
    <row r="208" spans="1:20" s="38" customFormat="1" x14ac:dyDescent="0.25">
      <c r="A208" s="20" t="s">
        <v>282</v>
      </c>
      <c r="B208" s="21" t="s">
        <v>134</v>
      </c>
      <c r="C208" s="22">
        <v>0.5</v>
      </c>
      <c r="D208" s="22">
        <v>3</v>
      </c>
      <c r="E208" s="23">
        <f>4095*C208</f>
        <v>2047.5</v>
      </c>
      <c r="F208" s="22"/>
      <c r="G208" s="23">
        <f t="shared" si="83"/>
        <v>2047.5</v>
      </c>
      <c r="H208" s="23"/>
      <c r="I208" s="23">
        <f>G208*0.1</f>
        <v>204.75</v>
      </c>
      <c r="J208" s="23"/>
      <c r="K208" s="23"/>
      <c r="L208" s="23"/>
      <c r="M208" s="23"/>
      <c r="N208" s="23"/>
      <c r="O208" s="23"/>
      <c r="P208" s="23">
        <f>8647/2-G208</f>
        <v>2276</v>
      </c>
      <c r="Q208" s="23"/>
      <c r="R208" s="23">
        <f>SUM(G208:Q208)</f>
        <v>4528.25</v>
      </c>
      <c r="S208" s="25">
        <f>R208*6</f>
        <v>27169.5</v>
      </c>
    </row>
    <row r="209" spans="1:20" s="27" customFormat="1" ht="25.8" customHeight="1" thickBot="1" x14ac:dyDescent="0.3">
      <c r="A209" s="64"/>
      <c r="B209" s="47" t="s">
        <v>59</v>
      </c>
      <c r="C209" s="34">
        <f>SUM(C207:C208)</f>
        <v>1</v>
      </c>
      <c r="D209" s="34"/>
      <c r="E209" s="35">
        <f>SUM(E207:E208)</f>
        <v>4893</v>
      </c>
      <c r="F209" s="34">
        <f>SUM(F207:F208)</f>
        <v>0</v>
      </c>
      <c r="G209" s="35">
        <f t="shared" si="83"/>
        <v>4893</v>
      </c>
      <c r="H209" s="35"/>
      <c r="I209" s="35">
        <f>SUM(I208)</f>
        <v>204.75</v>
      </c>
      <c r="J209" s="35"/>
      <c r="K209" s="35">
        <f>SUM(K207:K208)</f>
        <v>853.65</v>
      </c>
      <c r="L209" s="35">
        <f>SUM(L207:L208)</f>
        <v>3050.8500000000004</v>
      </c>
      <c r="M209" s="35"/>
      <c r="N209" s="35"/>
      <c r="O209" s="35"/>
      <c r="P209" s="35">
        <f>SUM(P208)</f>
        <v>2276</v>
      </c>
      <c r="Q209" s="35"/>
      <c r="R209" s="35">
        <f>SUM(R207:R208)</f>
        <v>11278.25</v>
      </c>
      <c r="S209" s="36">
        <f>SUM(S207:S208)</f>
        <v>67669.5</v>
      </c>
    </row>
    <row r="210" spans="1:20" ht="22.2" customHeight="1" x14ac:dyDescent="0.25">
      <c r="A210" s="15"/>
      <c r="B210" s="55" t="s">
        <v>283</v>
      </c>
      <c r="C210" s="85"/>
      <c r="D210" s="85"/>
      <c r="E210" s="94"/>
      <c r="F210" s="85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  <c r="R210" s="94"/>
      <c r="S210" s="110"/>
    </row>
    <row r="211" spans="1:20" s="13" customFormat="1" x14ac:dyDescent="0.25">
      <c r="A211" s="20" t="s">
        <v>284</v>
      </c>
      <c r="B211" s="66" t="s">
        <v>130</v>
      </c>
      <c r="C211" s="22">
        <v>0.5</v>
      </c>
      <c r="D211" s="22">
        <v>10</v>
      </c>
      <c r="E211" s="23">
        <f>6315*C211</f>
        <v>3157.5</v>
      </c>
      <c r="F211" s="22"/>
      <c r="G211" s="23">
        <f t="shared" ref="G211:G214" si="84">E211+F211</f>
        <v>3157.5</v>
      </c>
      <c r="H211" s="23"/>
      <c r="I211" s="23"/>
      <c r="J211" s="23"/>
      <c r="K211" s="23">
        <f>G211*0.3</f>
        <v>947.25</v>
      </c>
      <c r="L211" s="23">
        <f>13500/2-G211-K211</f>
        <v>2645.25</v>
      </c>
      <c r="M211" s="23"/>
      <c r="N211" s="23"/>
      <c r="O211" s="23"/>
      <c r="P211" s="23"/>
      <c r="Q211" s="23"/>
      <c r="R211" s="23">
        <f>G211+K211+L211</f>
        <v>6750</v>
      </c>
      <c r="S211" s="25">
        <f>R211*6</f>
        <v>40500</v>
      </c>
    </row>
    <row r="212" spans="1:20" x14ac:dyDescent="0.25">
      <c r="A212" s="20" t="s">
        <v>285</v>
      </c>
      <c r="B212" s="21" t="s">
        <v>134</v>
      </c>
      <c r="C212" s="22">
        <v>0.5</v>
      </c>
      <c r="D212" s="22">
        <v>3</v>
      </c>
      <c r="E212" s="23">
        <f>4095*C212</f>
        <v>2047.5</v>
      </c>
      <c r="F212" s="22"/>
      <c r="G212" s="23">
        <f t="shared" si="84"/>
        <v>2047.5</v>
      </c>
      <c r="H212" s="23"/>
      <c r="I212" s="23">
        <f>G212*0.1</f>
        <v>204.75</v>
      </c>
      <c r="J212" s="23"/>
      <c r="K212" s="23"/>
      <c r="L212" s="23"/>
      <c r="M212" s="23"/>
      <c r="N212" s="23"/>
      <c r="O212" s="23"/>
      <c r="P212" s="23">
        <f>8647/2-G212</f>
        <v>2276</v>
      </c>
      <c r="Q212" s="23"/>
      <c r="R212" s="23">
        <f>SUM(G212:Q212)</f>
        <v>4528.25</v>
      </c>
      <c r="S212" s="25">
        <f>R212*6</f>
        <v>27169.5</v>
      </c>
    </row>
    <row r="213" spans="1:20" x14ac:dyDescent="0.25">
      <c r="A213" s="20" t="s">
        <v>286</v>
      </c>
      <c r="B213" s="21" t="s">
        <v>227</v>
      </c>
      <c r="C213" s="22">
        <v>1</v>
      </c>
      <c r="D213" s="22">
        <v>1</v>
      </c>
      <c r="E213" s="23">
        <f>3470*C213</f>
        <v>3470</v>
      </c>
      <c r="F213" s="22"/>
      <c r="G213" s="23">
        <f t="shared" si="84"/>
        <v>3470</v>
      </c>
      <c r="H213" s="23"/>
      <c r="I213" s="23"/>
      <c r="J213" s="23"/>
      <c r="K213" s="23"/>
      <c r="L213" s="23"/>
      <c r="M213" s="23"/>
      <c r="N213" s="23"/>
      <c r="O213" s="23"/>
      <c r="P213" s="23">
        <f>8647-G213</f>
        <v>5177</v>
      </c>
      <c r="Q213" s="23"/>
      <c r="R213" s="23">
        <f>E213+P213</f>
        <v>8647</v>
      </c>
      <c r="S213" s="25">
        <f>R213*3</f>
        <v>25941</v>
      </c>
    </row>
    <row r="214" spans="1:20" s="49" customFormat="1" ht="26.4" customHeight="1" thickBot="1" x14ac:dyDescent="0.3">
      <c r="A214" s="118"/>
      <c r="B214" s="47" t="s">
        <v>59</v>
      </c>
      <c r="C214" s="34">
        <f>SUM(C211:C213)</f>
        <v>2</v>
      </c>
      <c r="D214" s="34"/>
      <c r="E214" s="35">
        <f>SUM(E211:E213)</f>
        <v>8675</v>
      </c>
      <c r="F214" s="34">
        <f>SUM(F211:F213)</f>
        <v>0</v>
      </c>
      <c r="G214" s="35">
        <f t="shared" si="84"/>
        <v>8675</v>
      </c>
      <c r="H214" s="35"/>
      <c r="I214" s="35">
        <f>SUM(I212:I213)</f>
        <v>204.75</v>
      </c>
      <c r="J214" s="35"/>
      <c r="K214" s="35">
        <f>SUM(K211:K213)</f>
        <v>947.25</v>
      </c>
      <c r="L214" s="35">
        <f>SUM(L211:L213)</f>
        <v>2645.25</v>
      </c>
      <c r="M214" s="35"/>
      <c r="N214" s="35"/>
      <c r="O214" s="35"/>
      <c r="P214" s="35">
        <f>P212+P213</f>
        <v>7453</v>
      </c>
      <c r="Q214" s="35"/>
      <c r="R214" s="35">
        <f>SUM(R211:R213)</f>
        <v>19925.25</v>
      </c>
      <c r="S214" s="36">
        <f>SUM(S211:S213)</f>
        <v>93610.5</v>
      </c>
    </row>
    <row r="215" spans="1:20" ht="21" customHeight="1" x14ac:dyDescent="0.25">
      <c r="A215" s="15"/>
      <c r="B215" s="55" t="s">
        <v>287</v>
      </c>
      <c r="C215" s="85"/>
      <c r="D215" s="85"/>
      <c r="E215" s="94"/>
      <c r="F215" s="85"/>
      <c r="G215" s="94"/>
      <c r="H215" s="94"/>
      <c r="I215" s="94"/>
      <c r="J215" s="94"/>
      <c r="K215" s="94"/>
      <c r="L215" s="94"/>
      <c r="M215" s="94"/>
      <c r="N215" s="94"/>
      <c r="O215" s="94"/>
      <c r="P215" s="94"/>
      <c r="Q215" s="94"/>
      <c r="R215" s="94"/>
      <c r="S215" s="110"/>
    </row>
    <row r="216" spans="1:20" ht="25.2" customHeight="1" x14ac:dyDescent="0.25">
      <c r="A216" s="20" t="s">
        <v>288</v>
      </c>
      <c r="B216" s="21" t="s">
        <v>220</v>
      </c>
      <c r="C216" s="22">
        <v>1</v>
      </c>
      <c r="D216" s="22">
        <v>10</v>
      </c>
      <c r="E216" s="23">
        <f>6315*C216</f>
        <v>6315</v>
      </c>
      <c r="F216" s="22"/>
      <c r="G216" s="23">
        <f t="shared" ref="G216:G220" si="85">E216+F216</f>
        <v>6315</v>
      </c>
      <c r="H216" s="23"/>
      <c r="I216" s="23"/>
      <c r="J216" s="23"/>
      <c r="K216" s="23">
        <f>G216*0.3</f>
        <v>1894.5</v>
      </c>
      <c r="L216" s="23">
        <f>R216-K216-G216</f>
        <v>5290.5</v>
      </c>
      <c r="M216" s="23"/>
      <c r="N216" s="23"/>
      <c r="O216" s="23"/>
      <c r="P216" s="23"/>
      <c r="Q216" s="23"/>
      <c r="R216" s="23">
        <v>13500</v>
      </c>
      <c r="S216" s="25">
        <f>R216*6</f>
        <v>81000</v>
      </c>
    </row>
    <row r="217" spans="1:20" ht="24" customHeight="1" x14ac:dyDescent="0.25">
      <c r="A217" s="20" t="s">
        <v>289</v>
      </c>
      <c r="B217" s="21" t="s">
        <v>130</v>
      </c>
      <c r="C217" s="22">
        <v>1</v>
      </c>
      <c r="D217" s="22">
        <v>7</v>
      </c>
      <c r="E217" s="23">
        <f>5344*C217</f>
        <v>5344</v>
      </c>
      <c r="F217" s="22"/>
      <c r="G217" s="23">
        <f t="shared" si="85"/>
        <v>5344</v>
      </c>
      <c r="H217" s="23"/>
      <c r="I217" s="23">
        <f>G217*0.1</f>
        <v>534.4</v>
      </c>
      <c r="J217" s="23"/>
      <c r="K217" s="23">
        <f>G217*0.3</f>
        <v>1603.2</v>
      </c>
      <c r="L217" s="23">
        <f>13500-G217-I217-K217</f>
        <v>6018.4000000000005</v>
      </c>
      <c r="M217" s="23"/>
      <c r="N217" s="23"/>
      <c r="O217" s="23"/>
      <c r="P217" s="23"/>
      <c r="Q217" s="23"/>
      <c r="R217" s="23">
        <f>G217+I217+K217+L217</f>
        <v>13500</v>
      </c>
      <c r="S217" s="25">
        <f t="shared" ref="S217:S218" si="86">R217*6</f>
        <v>81000</v>
      </c>
    </row>
    <row r="218" spans="1:20" ht="25.2" customHeight="1" x14ac:dyDescent="0.25">
      <c r="A218" s="20" t="s">
        <v>290</v>
      </c>
      <c r="B218" s="21" t="s">
        <v>134</v>
      </c>
      <c r="C218" s="22">
        <v>1</v>
      </c>
      <c r="D218" s="22">
        <v>3</v>
      </c>
      <c r="E218" s="23">
        <f>4095*C218</f>
        <v>4095</v>
      </c>
      <c r="F218" s="22"/>
      <c r="G218" s="23">
        <f t="shared" si="85"/>
        <v>4095</v>
      </c>
      <c r="H218" s="23"/>
      <c r="I218" s="23">
        <f>G218*0.1</f>
        <v>409.5</v>
      </c>
      <c r="J218" s="23"/>
      <c r="K218" s="23"/>
      <c r="L218" s="23"/>
      <c r="M218" s="23"/>
      <c r="N218" s="23"/>
      <c r="O218" s="23"/>
      <c r="P218" s="23">
        <f>8647-G218</f>
        <v>4552</v>
      </c>
      <c r="Q218" s="23"/>
      <c r="R218" s="23">
        <f>SUM(G218:Q218)</f>
        <v>9056.5</v>
      </c>
      <c r="S218" s="25">
        <f t="shared" si="86"/>
        <v>54339</v>
      </c>
    </row>
    <row r="219" spans="1:20" ht="31.8" customHeight="1" x14ac:dyDescent="0.25">
      <c r="A219" s="20" t="s">
        <v>291</v>
      </c>
      <c r="B219" s="21" t="s">
        <v>227</v>
      </c>
      <c r="C219" s="22">
        <v>1.5</v>
      </c>
      <c r="D219" s="22">
        <v>1</v>
      </c>
      <c r="E219" s="23">
        <f>3470*C219</f>
        <v>5205</v>
      </c>
      <c r="F219" s="22"/>
      <c r="G219" s="23">
        <f t="shared" si="85"/>
        <v>5205</v>
      </c>
      <c r="H219" s="23"/>
      <c r="I219" s="23"/>
      <c r="J219" s="23"/>
      <c r="K219" s="23"/>
      <c r="L219" s="23"/>
      <c r="M219" s="23"/>
      <c r="N219" s="23"/>
      <c r="O219" s="23"/>
      <c r="P219" s="23">
        <f>8647*C219-G219</f>
        <v>7765.5</v>
      </c>
      <c r="Q219" s="23"/>
      <c r="R219" s="23">
        <f>E219+P219</f>
        <v>12970.5</v>
      </c>
      <c r="S219" s="25">
        <f>R219*3</f>
        <v>38911.5</v>
      </c>
    </row>
    <row r="220" spans="1:20" s="27" customFormat="1" ht="26.4" customHeight="1" thickBot="1" x14ac:dyDescent="0.3">
      <c r="A220" s="64"/>
      <c r="B220" s="47" t="s">
        <v>59</v>
      </c>
      <c r="C220" s="34">
        <f>SUM(C216:C219)</f>
        <v>4.5</v>
      </c>
      <c r="D220" s="34"/>
      <c r="E220" s="35">
        <f>SUM(E216:E219)</f>
        <v>20959</v>
      </c>
      <c r="F220" s="34">
        <f>SUM(F216:F219)</f>
        <v>0</v>
      </c>
      <c r="G220" s="35">
        <f t="shared" si="85"/>
        <v>20959</v>
      </c>
      <c r="H220" s="35"/>
      <c r="I220" s="35">
        <f>SUM(I217:I219)</f>
        <v>943.9</v>
      </c>
      <c r="J220" s="35"/>
      <c r="K220" s="35">
        <f>K216+K217</f>
        <v>3497.7</v>
      </c>
      <c r="L220" s="35">
        <f>L216+L217</f>
        <v>11308.900000000001</v>
      </c>
      <c r="M220" s="35"/>
      <c r="N220" s="35"/>
      <c r="O220" s="35"/>
      <c r="P220" s="35">
        <f>SUM(P216:P219)</f>
        <v>12317.5</v>
      </c>
      <c r="Q220" s="35"/>
      <c r="R220" s="35">
        <f>SUM(R216:R219)</f>
        <v>49027</v>
      </c>
      <c r="S220" s="36">
        <f>SUM(S216:S219)</f>
        <v>255250.5</v>
      </c>
    </row>
    <row r="221" spans="1:20" s="13" customFormat="1" ht="22.2" customHeight="1" x14ac:dyDescent="0.2">
      <c r="A221" s="18"/>
      <c r="B221" s="55" t="s">
        <v>292</v>
      </c>
      <c r="C221" s="85"/>
      <c r="D221" s="85"/>
      <c r="E221" s="94"/>
      <c r="F221" s="85"/>
      <c r="G221" s="94"/>
      <c r="H221" s="94"/>
      <c r="I221" s="94"/>
      <c r="J221" s="94"/>
      <c r="K221" s="94"/>
      <c r="L221" s="94"/>
      <c r="M221" s="94"/>
      <c r="N221" s="94"/>
      <c r="O221" s="94"/>
      <c r="P221" s="94"/>
      <c r="Q221" s="94"/>
      <c r="R221" s="94"/>
      <c r="S221" s="110"/>
    </row>
    <row r="222" spans="1:20" ht="24" customHeight="1" x14ac:dyDescent="0.25">
      <c r="A222" s="20" t="s">
        <v>293</v>
      </c>
      <c r="B222" s="21" t="s">
        <v>220</v>
      </c>
      <c r="C222" s="22">
        <v>1</v>
      </c>
      <c r="D222" s="22">
        <v>10</v>
      </c>
      <c r="E222" s="23">
        <f>6315*C222</f>
        <v>6315</v>
      </c>
      <c r="F222" s="22"/>
      <c r="G222" s="23">
        <f t="shared" ref="G222:G224" si="87">E222+F222</f>
        <v>6315</v>
      </c>
      <c r="H222" s="23"/>
      <c r="I222" s="23"/>
      <c r="J222" s="23"/>
      <c r="K222" s="23">
        <f>G222*0.3</f>
        <v>1894.5</v>
      </c>
      <c r="L222" s="23">
        <f>R222-K222-G222</f>
        <v>5290.5</v>
      </c>
      <c r="M222" s="23"/>
      <c r="N222" s="23"/>
      <c r="O222" s="23"/>
      <c r="P222" s="23"/>
      <c r="Q222" s="23"/>
      <c r="R222" s="23">
        <v>13500</v>
      </c>
      <c r="S222" s="25">
        <f>R222*6</f>
        <v>81000</v>
      </c>
    </row>
    <row r="223" spans="1:20" s="38" customFormat="1" ht="25.8" customHeight="1" x14ac:dyDescent="0.25">
      <c r="A223" s="20" t="s">
        <v>294</v>
      </c>
      <c r="B223" s="21" t="s">
        <v>134</v>
      </c>
      <c r="C223" s="22">
        <v>0.5</v>
      </c>
      <c r="D223" s="22">
        <v>3</v>
      </c>
      <c r="E223" s="23">
        <f>4095*C223</f>
        <v>2047.5</v>
      </c>
      <c r="F223" s="22"/>
      <c r="G223" s="23">
        <f t="shared" si="87"/>
        <v>2047.5</v>
      </c>
      <c r="H223" s="23"/>
      <c r="I223" s="23">
        <f>G223*0.1</f>
        <v>204.75</v>
      </c>
      <c r="J223" s="23"/>
      <c r="K223" s="23"/>
      <c r="L223" s="23"/>
      <c r="M223" s="23"/>
      <c r="N223" s="23"/>
      <c r="O223" s="23"/>
      <c r="P223" s="23">
        <f>8647/2-G223</f>
        <v>2276</v>
      </c>
      <c r="Q223" s="23"/>
      <c r="R223" s="23">
        <f>SUM(G223:Q223)</f>
        <v>4528.25</v>
      </c>
      <c r="S223" s="25">
        <f>R223*6</f>
        <v>27169.5</v>
      </c>
      <c r="T223" s="46"/>
    </row>
    <row r="224" spans="1:20" s="27" customFormat="1" ht="27.6" customHeight="1" thickBot="1" x14ac:dyDescent="0.3">
      <c r="A224" s="64"/>
      <c r="B224" s="47" t="s">
        <v>59</v>
      </c>
      <c r="C224" s="34">
        <f>SUM(C222:C223)</f>
        <v>1.5</v>
      </c>
      <c r="D224" s="34"/>
      <c r="E224" s="35">
        <f>SUM(E222:E223)</f>
        <v>8362.5</v>
      </c>
      <c r="F224" s="34">
        <f>SUM(F222:F223)</f>
        <v>0</v>
      </c>
      <c r="G224" s="35">
        <f t="shared" si="87"/>
        <v>8362.5</v>
      </c>
      <c r="H224" s="35"/>
      <c r="I224" s="35">
        <f>SUM(I223)</f>
        <v>204.75</v>
      </c>
      <c r="J224" s="35"/>
      <c r="K224" s="35">
        <f>SUM(K222:K223)</f>
        <v>1894.5</v>
      </c>
      <c r="L224" s="35">
        <f>SUM(L222:L223)</f>
        <v>5290.5</v>
      </c>
      <c r="M224" s="35"/>
      <c r="N224" s="35"/>
      <c r="O224" s="35"/>
      <c r="P224" s="35">
        <f>SUM(P223)</f>
        <v>2276</v>
      </c>
      <c r="Q224" s="35"/>
      <c r="R224" s="35">
        <f>SUM(R222:R223)</f>
        <v>18028.25</v>
      </c>
      <c r="S224" s="36">
        <f>SUM(S222:S223)</f>
        <v>108169.5</v>
      </c>
    </row>
    <row r="225" spans="1:19" ht="22.2" customHeight="1" x14ac:dyDescent="0.25">
      <c r="A225" s="15"/>
      <c r="B225" s="55" t="s">
        <v>295</v>
      </c>
      <c r="C225" s="85"/>
      <c r="D225" s="85"/>
      <c r="E225" s="94"/>
      <c r="F225" s="85"/>
      <c r="G225" s="94"/>
      <c r="H225" s="94"/>
      <c r="I225" s="94"/>
      <c r="J225" s="94"/>
      <c r="K225" s="94"/>
      <c r="L225" s="94"/>
      <c r="M225" s="94"/>
      <c r="N225" s="94"/>
      <c r="O225" s="94"/>
      <c r="P225" s="94"/>
      <c r="Q225" s="94"/>
      <c r="R225" s="94"/>
      <c r="S225" s="110"/>
    </row>
    <row r="226" spans="1:19" ht="31.2" customHeight="1" x14ac:dyDescent="0.25">
      <c r="A226" s="20" t="s">
        <v>296</v>
      </c>
      <c r="B226" s="21" t="s">
        <v>130</v>
      </c>
      <c r="C226" s="22">
        <v>0.5</v>
      </c>
      <c r="D226" s="22">
        <v>10</v>
      </c>
      <c r="E226" s="23">
        <f>6315*C226</f>
        <v>3157.5</v>
      </c>
      <c r="F226" s="22"/>
      <c r="G226" s="23">
        <f t="shared" ref="G226:G227" si="88">E226+F226</f>
        <v>3157.5</v>
      </c>
      <c r="H226" s="23"/>
      <c r="I226" s="23"/>
      <c r="J226" s="23"/>
      <c r="K226" s="23">
        <f>G226*0.3</f>
        <v>947.25</v>
      </c>
      <c r="L226" s="23">
        <f>13500/2-G226-K226</f>
        <v>2645.25</v>
      </c>
      <c r="M226" s="23"/>
      <c r="N226" s="23"/>
      <c r="O226" s="23"/>
      <c r="P226" s="23"/>
      <c r="Q226" s="23"/>
      <c r="R226" s="23">
        <f>G226+K226+L226</f>
        <v>6750</v>
      </c>
      <c r="S226" s="25">
        <f>R226*6</f>
        <v>40500</v>
      </c>
    </row>
    <row r="227" spans="1:19" s="27" customFormat="1" ht="25.8" customHeight="1" thickBot="1" x14ac:dyDescent="0.3">
      <c r="A227" s="64"/>
      <c r="B227" s="47" t="s">
        <v>59</v>
      </c>
      <c r="C227" s="34">
        <f>SUM(C226:C226)</f>
        <v>0.5</v>
      </c>
      <c r="D227" s="34"/>
      <c r="E227" s="35">
        <f>SUM(E226:E226)</f>
        <v>3157.5</v>
      </c>
      <c r="F227" s="34">
        <f>SUM(F226:F226)</f>
        <v>0</v>
      </c>
      <c r="G227" s="35">
        <f t="shared" si="88"/>
        <v>3157.5</v>
      </c>
      <c r="H227" s="35"/>
      <c r="I227" s="35">
        <v>0</v>
      </c>
      <c r="J227" s="35"/>
      <c r="K227" s="35">
        <f>SUM(K226:K226)</f>
        <v>947.25</v>
      </c>
      <c r="L227" s="35">
        <f>SUM(L226:L226)</f>
        <v>2645.25</v>
      </c>
      <c r="M227" s="35"/>
      <c r="N227" s="35"/>
      <c r="O227" s="35"/>
      <c r="P227" s="35">
        <v>0</v>
      </c>
      <c r="Q227" s="35"/>
      <c r="R227" s="35">
        <f>SUM(R226:R226)</f>
        <v>6750</v>
      </c>
      <c r="S227" s="36">
        <f>SUM(S226:S226)</f>
        <v>40500</v>
      </c>
    </row>
    <row r="228" spans="1:19" ht="18.600000000000001" customHeight="1" x14ac:dyDescent="0.25">
      <c r="A228" s="15"/>
      <c r="B228" s="55" t="s">
        <v>298</v>
      </c>
      <c r="C228" s="85"/>
      <c r="D228" s="85"/>
      <c r="E228" s="94"/>
      <c r="F228" s="85"/>
      <c r="G228" s="94"/>
      <c r="H228" s="94"/>
      <c r="I228" s="94"/>
      <c r="J228" s="94"/>
      <c r="K228" s="94"/>
      <c r="L228" s="94"/>
      <c r="M228" s="94"/>
      <c r="N228" s="94"/>
      <c r="O228" s="94"/>
      <c r="P228" s="94"/>
      <c r="Q228" s="94"/>
      <c r="R228" s="94"/>
      <c r="S228" s="110"/>
    </row>
    <row r="229" spans="1:19" x14ac:dyDescent="0.25">
      <c r="A229" s="20" t="s">
        <v>299</v>
      </c>
      <c r="B229" s="21" t="s">
        <v>130</v>
      </c>
      <c r="C229" s="22">
        <v>0.5</v>
      </c>
      <c r="D229" s="22">
        <v>10</v>
      </c>
      <c r="E229" s="23">
        <f>6315*C229</f>
        <v>3157.5</v>
      </c>
      <c r="F229" s="22"/>
      <c r="G229" s="23">
        <f t="shared" ref="G229:G231" si="89">E229+F229</f>
        <v>3157.5</v>
      </c>
      <c r="H229" s="23"/>
      <c r="I229" s="23"/>
      <c r="J229" s="23"/>
      <c r="K229" s="23">
        <f>G229*0.3</f>
        <v>947.25</v>
      </c>
      <c r="L229" s="23">
        <f>13500/2-G229-K229</f>
        <v>2645.25</v>
      </c>
      <c r="M229" s="23"/>
      <c r="N229" s="23"/>
      <c r="O229" s="23"/>
      <c r="P229" s="23"/>
      <c r="Q229" s="23"/>
      <c r="R229" s="23">
        <f>G229+K229+L229</f>
        <v>6750</v>
      </c>
      <c r="S229" s="25">
        <f>R229*6</f>
        <v>40500</v>
      </c>
    </row>
    <row r="230" spans="1:19" s="38" customFormat="1" x14ac:dyDescent="0.25">
      <c r="A230" s="20" t="s">
        <v>300</v>
      </c>
      <c r="B230" s="21" t="s">
        <v>134</v>
      </c>
      <c r="C230" s="22">
        <v>0.25</v>
      </c>
      <c r="D230" s="22">
        <v>3</v>
      </c>
      <c r="E230" s="23">
        <f>4095*C230</f>
        <v>1023.75</v>
      </c>
      <c r="F230" s="22"/>
      <c r="G230" s="23">
        <f t="shared" si="89"/>
        <v>1023.75</v>
      </c>
      <c r="H230" s="23"/>
      <c r="I230" s="23">
        <f>G230*0.1</f>
        <v>102.375</v>
      </c>
      <c r="J230" s="23"/>
      <c r="K230" s="23"/>
      <c r="L230" s="23"/>
      <c r="M230" s="23"/>
      <c r="N230" s="23"/>
      <c r="O230" s="23"/>
      <c r="P230" s="23">
        <f>8647*0.25-G230</f>
        <v>1138</v>
      </c>
      <c r="Q230" s="23"/>
      <c r="R230" s="23">
        <f>E230+I230+P230</f>
        <v>2264.125</v>
      </c>
      <c r="S230" s="25">
        <f>R230*6</f>
        <v>13584.75</v>
      </c>
    </row>
    <row r="231" spans="1:19" s="27" customFormat="1" ht="27" customHeight="1" thickBot="1" x14ac:dyDescent="0.3">
      <c r="A231" s="64"/>
      <c r="B231" s="47" t="s">
        <v>59</v>
      </c>
      <c r="C231" s="34">
        <f>SUM(C229:C230)</f>
        <v>0.75</v>
      </c>
      <c r="D231" s="34"/>
      <c r="E231" s="35">
        <f>SUM(E229:E230)</f>
        <v>4181.25</v>
      </c>
      <c r="F231" s="34">
        <f>SUM(F229:F230)</f>
        <v>0</v>
      </c>
      <c r="G231" s="35">
        <f t="shared" si="89"/>
        <v>4181.25</v>
      </c>
      <c r="H231" s="35"/>
      <c r="I231" s="35">
        <f>SUM(I230)</f>
        <v>102.375</v>
      </c>
      <c r="J231" s="35"/>
      <c r="K231" s="35">
        <f>SUM(K229:K230)</f>
        <v>947.25</v>
      </c>
      <c r="L231" s="35">
        <f>SUM(L229:L230)</f>
        <v>2645.25</v>
      </c>
      <c r="M231" s="35"/>
      <c r="N231" s="35"/>
      <c r="O231" s="35"/>
      <c r="P231" s="35">
        <f>SUM(P230)</f>
        <v>1138</v>
      </c>
      <c r="Q231" s="35"/>
      <c r="R231" s="35">
        <f>SUM(R229:R230)</f>
        <v>9014.125</v>
      </c>
      <c r="S231" s="36">
        <f>SUM(S229:S230)</f>
        <v>54084.75</v>
      </c>
    </row>
    <row r="232" spans="1:19" s="49" customFormat="1" ht="23.25" customHeight="1" thickBot="1" x14ac:dyDescent="0.3">
      <c r="A232" s="67"/>
      <c r="B232" s="119" t="s">
        <v>301</v>
      </c>
      <c r="C232" s="120">
        <f>C27+C38+C46+C41+C55+C61+C81+C126+C110+C116+C139+C150+C156+C163+C170+C179+C184+C224+C220+C214+C200+C205+C227+C231+C190+C209+C195+C143+C120</f>
        <v>191.5</v>
      </c>
      <c r="D232" s="121"/>
      <c r="E232" s="120">
        <f>E27+E38+E46+E41+E55+E61+E81+E126+E110+E116+E139+E150+E156+E163+E170+E179+E184+E220+E224+E214+E200+E205+E227+E190+E209+E195+E143+E231+E120</f>
        <v>1184298.75</v>
      </c>
      <c r="F232" s="120">
        <f>F27+F38+F46+F41+F55+F61+F81+F126+F110+F116+F139+F150+F156+F163+F170+F179+F184+F220+F224+F214+F200+F205+F227+F190+F209+F195+F143+F231+F120</f>
        <v>31740.262500000001</v>
      </c>
      <c r="G232" s="120">
        <f>G27+G38+G46+G41+G55+G61+G81+G126+G110+G116+G139+G150+G156+G163+G170+G179+G184+G220+G224+G214+G200+G205+G227+G190+G209+G195+G143+G231+G120</f>
        <v>1216039.0125</v>
      </c>
      <c r="H232" s="120">
        <f>H27+H38+H46+H41+H55+H61+H81+H126+H110+H116+H139+H150+H156+H163+H170+H179+H184+H220+H224+H214+H200+H205+H227+H190+H209+H195+H143+H231+H120</f>
        <v>24377.25</v>
      </c>
      <c r="I232" s="120">
        <f>I27+I38+I46+I41+I55+I61+I81+I126+I110+I116+I139+I150+I156+I163+I170+I179+I184+I220+I224+I214+I200+I205+I227+I190+I209+I195+I143+I231+I120</f>
        <v>29433.47625</v>
      </c>
      <c r="J232" s="120">
        <f>J27+J38+J46+J41+J55+J61+J81+J126+J110+J116+J139+J150+J156+J163+J170+J179+J184+J220+J224+J214+J200+J205+J227+J190+J209+J195+J143+J231+J120</f>
        <v>534.096</v>
      </c>
      <c r="K232" s="120">
        <f>K27+K38+K46+K41+K55+K61+K81+K126+K110+K116+K139+K150+K156+K163+K170+K179+K184+K220+K224+K214+K200+K205+K227+K190+K209+K195+K143+K231+K120</f>
        <v>240503.83875</v>
      </c>
      <c r="L232" s="120">
        <f>L27+L38+L46+L41+L55+L61+L81+L126+L110+L116+L139+L150+L156+L163+L170+L179+L184+L220+L224+L214+L200+L205+L227+L190+L209+L195+L143+L231+L120</f>
        <v>790882.65500000014</v>
      </c>
      <c r="M232" s="120">
        <f>M27+M38+M46+M41+M55+M61+M81+M126+M110+M116+M139+M150+M156+M163+M170+M179+M184+M220+M224+M214+M200+M205+M227+M190+M209+M195+M143+M231+M120</f>
        <v>3750</v>
      </c>
      <c r="N232" s="120">
        <f>N27+N38+N46+N41+N55+N61+N81+N126+N110+N116+N139+N150+N156+N163+N170+N179+N184+N220+N224+N214+N200+N205+N227+N190+N209+N195+N143+N231+N120</f>
        <v>24101.690000000002</v>
      </c>
      <c r="O232" s="120">
        <f>O27+O38+O46+O41+O55+O61+O81+O126+O110+O116+O139+O150+O156+O163+O170+O179+O184+O220+O224+O214+O200+O205+O227+O190+O209+O195+O143+O231+O120</f>
        <v>146360.75</v>
      </c>
      <c r="P232" s="120">
        <f>P27+P38+P46+P41+P55+P61+P81+P126+P110+P116+P139+P150+P156+P163+P170+P179+P184+P220+P224+P214+P200+P205+P227+P190+P209+P195+P143+P231+P120</f>
        <v>267105</v>
      </c>
      <c r="Q232" s="120">
        <f>Q27+Q38+Q46+Q41+Q55+Q61+Q81+Q126+Q110+Q116+Q139+Q150+Q156+Q163+Q170+Q179+Q184+Q220+Q224+Q214+Q200+Q205+Q227+Q190+Q209+Q195+Q143+Q231+Q120</f>
        <v>0</v>
      </c>
      <c r="R232" s="120">
        <f>R27+R38+R46+R41+R55+R61+R81+R126+R110+R116+R139+R150+R156+R163+R170+R179+R184+R220+R224+R214+R200+R205+R227+R190+R209+R195+R143+R231+R120</f>
        <v>2743087.7684999998</v>
      </c>
      <c r="S232" s="120">
        <f>S27+S38+S46+S41+S55+S61+S81+S126+S110+S116+S139+S150+S156+S163+S170+S179+S184+S220+S224+S214+S200+S205+S227+S190+S209+S195+S143+S231+S120</f>
        <v>16315851.111000001</v>
      </c>
    </row>
    <row r="233" spans="1:19" ht="12.6" thickBot="1" x14ac:dyDescent="0.3">
      <c r="F233" s="13"/>
      <c r="I233" s="68"/>
    </row>
    <row r="234" spans="1:19" ht="15.6" customHeight="1" x14ac:dyDescent="0.25">
      <c r="B234" s="69" t="s">
        <v>302</v>
      </c>
      <c r="C234" s="70">
        <f>C48+C49+C57+C58+C59+C64+C65+C66+C67+C68+C69+C122+C123+C83+C84+C85+C86+C87+C88+C89+C99+C94+C90+C91+C97+C95+C93+C92+C100+C98+C101+C112+C113+C132+C128+C133+C134+C145+C152+C158+C165+C172+C173+C174+C181+C140+C70+C71+C72+C73+C74+C118+C119+C96</f>
        <v>49.75</v>
      </c>
      <c r="D234" s="70"/>
      <c r="E234" s="70">
        <f>E48+E49+E57+E58+E59+E64+E65+E66+E67+E68+E69+E122+E123+E83+E84+E85+E86+E87+E88+E89+E99+E94+E90+E91+E97+E95+E93+E92+E100+E98+E101+E112+E113+E132+E128+E133+E134+E145+E152+E158+E165+E172+E173+E174+E181+E140+E70+E71+E72+E73+E74+E118+E119+E96</f>
        <v>377864.5</v>
      </c>
      <c r="F234" s="70"/>
      <c r="G234" s="70"/>
      <c r="H234" s="70"/>
      <c r="I234" s="70"/>
      <c r="J234" s="70"/>
      <c r="K234" s="70"/>
      <c r="L234" s="70"/>
      <c r="M234" s="70"/>
      <c r="N234" s="70"/>
      <c r="O234" s="70"/>
      <c r="P234" s="70"/>
      <c r="Q234" s="70" t="e">
        <f>Q48+Q49+Q57+Q58+Q59+Q64+Q65+Q66+Q67+Q68+Q69+Q122+Q123+Q83+Q84+Q85+Q86+Q87+Q88+Q89+Q99+Q94+Q90+#REF!+Q91+#REF!+Q97+Q95+Q93+Q92+Q100+Q98+Q101+Q112+Q113+Q132+Q128+Q133+Q134+Q145+Q152+Q158+Q165+Q172+Q173+Q174+Q181+Q140+Q70+Q71+Q72+Q73+Q74+Q118+Q119</f>
        <v>#REF!</v>
      </c>
      <c r="R234" s="70">
        <f>R48+R49+R57+R58+R59+R64+R65+R66+R67+R68+R69+R122+R123+R83+R84+R85+R86+R87+R88+R89+R99+R94+R90+R91+R97+R95+R93+R92+R100+R98+R101+R112+R113+R132+R128+R133+R134+R145+R152+R158+R165+R172+R173+R174+R181+R140+R70+R71+R72+R73+R74+R118+R119+R96</f>
        <v>980000</v>
      </c>
      <c r="S234" s="70">
        <f>S48+S49+S57+S58+S59+S64+S65+S66+S67+S68+S69+S122+S123+S83+S84+S85+S86+S87+S88+S89+S99+S94+S90+S91+S97+S95+S93+S92+S100+S98+S101+S112+S113+S132+S128+S133+S134+S145+S152+S158+S165+S172+S173+S174+S181+S140+S70+S71+S72+S73+S74+S118+S119+S96</f>
        <v>5880000</v>
      </c>
    </row>
    <row r="235" spans="1:19" ht="15.6" customHeight="1" x14ac:dyDescent="0.25">
      <c r="B235" s="71" t="s">
        <v>303</v>
      </c>
      <c r="C235" s="72">
        <f>C17+C50+C54+C75+C76+C77+C124+C102+C105+C106+C103+C104+C107+C114+C129+C135+C136+C137+C146+C153+C154+C159+C160+C166+C167+C175+C176+C182+C217+C216+C222+C211+C197+C202+C226+C187+C207+C192+C141+C229</f>
        <v>69</v>
      </c>
      <c r="D235" s="72"/>
      <c r="E235" s="123">
        <f>E17+E50+E54+E75+E76+E77+E124+E102+E105+E106+E103+E104+E107+E114+E129+E135+E136+E137+E146+E153+E154+E159+E160+E166+E167+E175+E176+E182+E217+E216+E222+E211+E197+E202+E226+E187+E207+E192+E141+E229</f>
        <v>420034.5</v>
      </c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Q235" s="72">
        <f>Q17+Q50+Q54+Q75+Q76+Q77+Q124+Q102+Q105+Q106+Q103+Q104+Q107+Q114+Q129+Q135+Q136+Q137+Q146+Q153+Q154+Q159+Q160+Q166+Q167+Q175+Q176+Q182+Q217+Q216+Q222+Q211+Q197+Q202+Q226+Q187+Q207+Q192+Q141+Q229</f>
        <v>0</v>
      </c>
      <c r="R235" s="72">
        <f>R17+R50+R54+R75+R76+R77+R124+R102+R105+R106+R103+R104+R107+R114+R129+R135+R136+R137+R146+R153+R154+R159+R160+R166+R167+R175+R176+R182+R217+R216+R222+R211+R197+R202+R226+R187+R207+R192+R141+R229</f>
        <v>929177.67999999993</v>
      </c>
      <c r="S235" s="89">
        <f>S17+S50+S54+S75+S76+S77+S124+S102+S105+S106+S103+S104+S107+S114+S129+S135+S136+S137+S146+S153+S154+S159+S160+S166+S167+S175+S176+S182+S217+S216+S222+S211+S197+S202+S226+S187+S207+S192+S141+S229</f>
        <v>5575066.0800000001</v>
      </c>
    </row>
    <row r="236" spans="1:19" ht="15.6" customHeight="1" x14ac:dyDescent="0.25">
      <c r="B236" s="71" t="s">
        <v>304</v>
      </c>
      <c r="C236" s="72">
        <f>C78+C79+C125+C109+C115+C138+C147+C155+C161+C168+C177+C183+C218+C223+C212+C198+C203+C188+C208+C193+C230</f>
        <v>26.75</v>
      </c>
      <c r="D236" s="72"/>
      <c r="E236" s="123">
        <f>E78+E79+E125+E109+E115+E138+E147+E155+E161+E168+E177+E183+E218+E223+E212+E198+E203+E188+E208+E193+E230</f>
        <v>112193.25</v>
      </c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 t="e">
        <f>Q78+Q79+Q125+Q109+Q115+Q138+Q147+Q155+Q161+Q168+Q177+Q183+Q218+Q223+Q212+Q198+Q203+#REF!+Q188+Q208+Q193+Q230</f>
        <v>#REF!</v>
      </c>
      <c r="R236" s="123">
        <f>R78+R79+R125+R109+R115+R138+R147+R155+R161+R168+R177+R183+R218+R223+R212+R198+R203+R188+R208+R193+R230</f>
        <v>248650.94249999998</v>
      </c>
      <c r="S236" s="124">
        <f>S78+S79+S125+S109+S115+S138+S147+S155+S161+S168+S177+S183+S218+S223+S212+S198+S203+S188+S208+S193+S230</f>
        <v>1491905.655</v>
      </c>
    </row>
    <row r="237" spans="1:19" ht="15.6" customHeight="1" x14ac:dyDescent="0.25">
      <c r="B237" s="71" t="s">
        <v>305</v>
      </c>
      <c r="C237" s="72">
        <f>C14+C15+C16+C18+C19+C20+C21+C22+C23+C24+C25+C26+C29+C31+C32+C33+C35+C36+C37+C43+C44+C45+C40+C51+C53+C60+C80+C108+C148+C149+C162+C169+C178+C219+C213+C199+C204+C189+C194+C142+C34+C30+C52</f>
        <v>46</v>
      </c>
      <c r="D237" s="72"/>
      <c r="E237" s="123">
        <f>E14+E15+E16+E18+E19+E20+E21+E22+E23+E24+E25+E26+E29+E31+E32+E33+E35+E36+E37+E43+E44+E45+E40+E51+E53+E60+E80+E108+E148+E149+E162+E169+E178+E219+E213+E199+E204+E189+E194+E142+E34+E30+E52</f>
        <v>274206.5</v>
      </c>
      <c r="F237" s="72"/>
      <c r="G237" s="72"/>
      <c r="H237" s="72" t="s">
        <v>8</v>
      </c>
      <c r="I237" s="72"/>
      <c r="J237" s="72"/>
      <c r="K237" s="72"/>
      <c r="L237" s="72"/>
      <c r="M237" s="72"/>
      <c r="N237" s="72"/>
      <c r="O237" s="72"/>
      <c r="P237" s="72"/>
      <c r="Q237" s="72">
        <f>Q14+Q15+Q16+Q18+Q19+Q20+Q21+Q22+Q23+Q24+Q25+Q26+Q29+Q31+Q32+Q33+Q35+Q36+Q37+Q43+Q44+Q45+Q40+Q51+Q53+Q60+Q80+Q108+Q148+Q149+Q162+Q169+Q178+Q219+Q213+Q199+Q204+Q189+Q194+Q142+Q34</f>
        <v>0</v>
      </c>
      <c r="R237" s="123">
        <f>R14+R15+R16+R18+R19+R20+R21+R22+R23+R24+R25+R26+R29+R31+R32+R33+R35+R36+R37+R43+R44+R45+R40+R51+R53+R60+R80+R108+R148+R149+R162+R169+R178+R219+R213+R199+R204+R189+R194+R142+R34+R30+R52</f>
        <v>585259.14599999995</v>
      </c>
      <c r="S237" s="123">
        <f>S14+S15+S16+S18+S19+S20+S21+S22+S23+S24+S25+S26+S29+S31+S32+S33+S35+S36+S37+S43+S44+S45+S40+S51+S53+S60+S80+S108+S148+S149+S162+S169+S178+S219+S213+S199+S204+S189+S194+S142+S34+S30+S52</f>
        <v>3368879.3759999997</v>
      </c>
    </row>
    <row r="238" spans="1:19" ht="12.6" thickBot="1" x14ac:dyDescent="0.3">
      <c r="B238" s="73" t="s">
        <v>306</v>
      </c>
      <c r="C238" s="74">
        <f>SUBTOTAL(9,C234:C237)</f>
        <v>191.5</v>
      </c>
      <c r="D238" s="74"/>
      <c r="E238" s="75">
        <f>SUBTOTAL(9,E234:E237)</f>
        <v>1184298.75</v>
      </c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 t="e">
        <f t="shared" ref="Q238:S238" si="90">SUBTOTAL(9,Q234:Q237)</f>
        <v>#REF!</v>
      </c>
      <c r="R238" s="75">
        <f>R234+R235+R236+R237</f>
        <v>2743087.7685000002</v>
      </c>
      <c r="S238" s="76">
        <f t="shared" si="90"/>
        <v>16315851.111</v>
      </c>
    </row>
    <row r="239" spans="1:19" ht="19.95" customHeight="1" x14ac:dyDescent="0.25">
      <c r="R239" s="53"/>
    </row>
    <row r="240" spans="1:19" ht="19.2" customHeight="1" x14ac:dyDescent="0.3">
      <c r="B240" s="77" t="s">
        <v>307</v>
      </c>
      <c r="C240" s="78"/>
      <c r="D240" s="78"/>
      <c r="E240" s="79">
        <f>E238</f>
        <v>1184298.75</v>
      </c>
      <c r="G240" s="80"/>
      <c r="H240" s="81"/>
      <c r="I240" s="82"/>
    </row>
    <row r="241" spans="2:10" x14ac:dyDescent="0.25">
      <c r="B241" s="77" t="s">
        <v>346</v>
      </c>
      <c r="E241" s="52">
        <f>S232+E240</f>
        <v>17500149.861000001</v>
      </c>
    </row>
    <row r="243" spans="2:10" ht="15.6" x14ac:dyDescent="0.3">
      <c r="C243" s="83"/>
      <c r="D243" s="83"/>
      <c r="E243" s="83"/>
      <c r="F243" s="83"/>
      <c r="G243" s="83"/>
      <c r="H243" s="83"/>
      <c r="I243" s="83"/>
      <c r="J243" s="83"/>
    </row>
    <row r="244" spans="2:10" ht="15.6" x14ac:dyDescent="0.3">
      <c r="C244" s="83" t="s">
        <v>358</v>
      </c>
      <c r="D244" s="83"/>
      <c r="E244" s="83"/>
      <c r="F244" s="83"/>
      <c r="G244" s="83"/>
      <c r="H244" s="83" t="s">
        <v>361</v>
      </c>
      <c r="I244" s="83"/>
      <c r="J244" s="83"/>
    </row>
    <row r="245" spans="2:10" ht="15.6" x14ac:dyDescent="0.3">
      <c r="C245" s="83"/>
      <c r="D245" s="83"/>
      <c r="E245" s="83"/>
      <c r="F245" s="83"/>
      <c r="G245" s="83"/>
      <c r="H245" s="83"/>
      <c r="I245" s="83"/>
      <c r="J245" s="83"/>
    </row>
    <row r="246" spans="2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2:10" ht="15.6" x14ac:dyDescent="0.3">
      <c r="C247" s="143"/>
      <c r="D247" s="143"/>
      <c r="E247" s="143"/>
      <c r="F247" s="83"/>
      <c r="G247" s="83"/>
      <c r="H247" s="83"/>
      <c r="I247" s="83"/>
      <c r="J247" s="83"/>
    </row>
    <row r="248" spans="2:10" ht="15.6" x14ac:dyDescent="0.3">
      <c r="C248" s="83"/>
      <c r="D248" s="84"/>
      <c r="E248" s="84"/>
      <c r="F248" s="83"/>
      <c r="G248" s="83"/>
      <c r="H248" s="83"/>
      <c r="I248" s="83"/>
      <c r="J248" s="83"/>
    </row>
    <row r="249" spans="2:10" ht="15.6" x14ac:dyDescent="0.3">
      <c r="C249" s="83"/>
      <c r="D249" s="83"/>
      <c r="E249" s="83"/>
      <c r="F249" s="83"/>
      <c r="G249" s="83"/>
      <c r="H249" s="83"/>
      <c r="I249" s="83"/>
      <c r="J249" s="83"/>
    </row>
    <row r="250" spans="2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2:10" ht="15.6" x14ac:dyDescent="0.3">
      <c r="C251" s="83"/>
      <c r="D251" s="83"/>
      <c r="E251" s="83"/>
      <c r="F251" s="83"/>
      <c r="G251" s="83"/>
      <c r="H251" s="83"/>
      <c r="I251" s="83"/>
      <c r="J251" s="83"/>
    </row>
    <row r="252" spans="2:10" ht="15.6" x14ac:dyDescent="0.3">
      <c r="C252" s="83"/>
      <c r="D252" s="83"/>
      <c r="E252" s="83"/>
      <c r="F252" s="83"/>
      <c r="G252" s="83"/>
      <c r="H252" s="83"/>
      <c r="I252" s="83"/>
      <c r="J252" s="83"/>
    </row>
    <row r="253" spans="2:10" ht="15.6" x14ac:dyDescent="0.3">
      <c r="C253" s="143"/>
      <c r="D253" s="144"/>
      <c r="E253" s="144"/>
      <c r="F253" s="83"/>
      <c r="G253" s="83"/>
      <c r="H253" s="83"/>
      <c r="I253" s="83"/>
      <c r="J253" s="83"/>
    </row>
    <row r="254" spans="2:10" ht="15.6" x14ac:dyDescent="0.3">
      <c r="C254" s="83"/>
      <c r="D254" s="84"/>
      <c r="E254" s="84"/>
      <c r="F254" s="83"/>
      <c r="G254" s="83"/>
      <c r="H254" s="83"/>
      <c r="I254" s="83"/>
      <c r="J254" s="83"/>
    </row>
    <row r="255" spans="2:10" ht="15.6" x14ac:dyDescent="0.3">
      <c r="C255" s="83"/>
      <c r="D255" s="83"/>
      <c r="E255" s="83"/>
      <c r="F255" s="83"/>
      <c r="G255" s="83"/>
      <c r="H255" s="83"/>
      <c r="I255" s="83"/>
      <c r="J255" s="83"/>
    </row>
    <row r="256" spans="2:10" ht="15.6" x14ac:dyDescent="0.3">
      <c r="C256" s="83"/>
      <c r="D256" s="83"/>
      <c r="E256" s="83"/>
      <c r="F256" s="83"/>
      <c r="G256" s="83"/>
      <c r="H256" s="83"/>
      <c r="I256" s="83"/>
      <c r="J256" s="83"/>
    </row>
  </sheetData>
  <mergeCells count="29">
    <mergeCell ref="C253:E253"/>
    <mergeCell ref="O11:O12"/>
    <mergeCell ref="P11:P12"/>
    <mergeCell ref="Q11:Q12"/>
    <mergeCell ref="R11:R12"/>
    <mergeCell ref="S11:S12"/>
    <mergeCell ref="C247:E247"/>
    <mergeCell ref="F11:F12"/>
    <mergeCell ref="G11:G12"/>
    <mergeCell ref="H11:K11"/>
    <mergeCell ref="L11:L12"/>
    <mergeCell ref="M11:M12"/>
    <mergeCell ref="N11:N12"/>
    <mergeCell ref="M6:S6"/>
    <mergeCell ref="O8:P8"/>
    <mergeCell ref="S8:AH8"/>
    <mergeCell ref="B9:R9"/>
    <mergeCell ref="B10:R10"/>
    <mergeCell ref="A11:A12"/>
    <mergeCell ref="B11:B12"/>
    <mergeCell ref="C11:C12"/>
    <mergeCell ref="D11:D12"/>
    <mergeCell ref="E11:E12"/>
    <mergeCell ref="B1:S1"/>
    <mergeCell ref="M2:S2"/>
    <mergeCell ref="B3:D3"/>
    <mergeCell ref="M3:S3"/>
    <mergeCell ref="B5:D5"/>
    <mergeCell ref="M5:P5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14</vt:i4>
      </vt:variant>
    </vt:vector>
  </HeadingPairs>
  <TitlesOfParts>
    <vt:vector size="14" baseType="lpstr">
      <vt:lpstr>01.01.2025</vt:lpstr>
      <vt:lpstr>01.02.2025</vt:lpstr>
      <vt:lpstr>01.03.2025</vt:lpstr>
      <vt:lpstr>01.04.2025</vt:lpstr>
      <vt:lpstr>01.05.2025</vt:lpstr>
      <vt:lpstr>01.06.2025 </vt:lpstr>
      <vt:lpstr>01.07.2025</vt:lpstr>
      <vt:lpstr>01.08.2025 </vt:lpstr>
      <vt:lpstr>01.09.2025 </vt:lpstr>
      <vt:lpstr>01.10.2025</vt:lpstr>
      <vt:lpstr>01.01.2026</vt:lpstr>
      <vt:lpstr>01.04.2026</vt:lpstr>
      <vt:lpstr>01.05.2026 </vt:lpstr>
      <vt:lpstr>01.07.2026  ОТГ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KNP</dc:creator>
  <cp:lastModifiedBy>оксана давиденко</cp:lastModifiedBy>
  <cp:lastPrinted>2026-06-23T13:28:05Z</cp:lastPrinted>
  <dcterms:created xsi:type="dcterms:W3CDTF">2024-12-30T10:00:35Z</dcterms:created>
  <dcterms:modified xsi:type="dcterms:W3CDTF">2026-06-23T13:28:47Z</dcterms:modified>
</cp:coreProperties>
</file>