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78 сесія РІШЕННЯ  23.01.2026\"/>
    </mc:Choice>
  </mc:AlternateContent>
  <xr:revisionPtr revIDLastSave="0" documentId="13_ncr:1_{28FD8078-9864-4968-B458-69E5E312FE42}" xr6:coauthVersionLast="45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Адмін" sheetId="1" r:id="rId1"/>
    <sheet name="бібліотеки" sheetId="2" r:id="rId2"/>
    <sheet name="Буд. Куль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5" i="2" l="1"/>
  <c r="H30" i="1"/>
  <c r="V30" i="1"/>
  <c r="U30" i="1"/>
  <c r="T30" i="1"/>
  <c r="S30" i="1"/>
  <c r="Q30" i="1"/>
  <c r="O30" i="1"/>
  <c r="M30" i="1"/>
  <c r="K30" i="1"/>
  <c r="J30" i="1"/>
  <c r="O35" i="2"/>
  <c r="N35" i="2"/>
  <c r="M35" i="2"/>
  <c r="L35" i="2"/>
  <c r="K35" i="2"/>
  <c r="J35" i="2"/>
  <c r="I35" i="2"/>
  <c r="H35" i="2"/>
  <c r="O69" i="3"/>
  <c r="N69" i="3"/>
  <c r="M69" i="3"/>
  <c r="L69" i="3"/>
  <c r="I69" i="3"/>
  <c r="J69" i="3"/>
  <c r="K69" i="3"/>
  <c r="O68" i="3"/>
  <c r="L68" i="3"/>
  <c r="J68" i="3"/>
  <c r="I68" i="3"/>
  <c r="N68" i="3" s="1"/>
  <c r="O67" i="3"/>
  <c r="L67" i="3"/>
  <c r="I67" i="3"/>
  <c r="N67" i="3" s="1"/>
  <c r="O66" i="3"/>
  <c r="L66" i="3"/>
  <c r="I66" i="3"/>
  <c r="O64" i="3"/>
  <c r="L64" i="3"/>
  <c r="J64" i="3"/>
  <c r="I64" i="3"/>
  <c r="O63" i="3"/>
  <c r="L63" i="3"/>
  <c r="I63" i="3"/>
  <c r="N63" i="3" s="1"/>
  <c r="O62" i="3"/>
  <c r="L62" i="3"/>
  <c r="O61" i="3"/>
  <c r="L61" i="3"/>
  <c r="J61" i="3"/>
  <c r="I61" i="3"/>
  <c r="O60" i="3"/>
  <c r="L60" i="3"/>
  <c r="M60" i="3" s="1"/>
  <c r="O59" i="3"/>
  <c r="L59" i="3"/>
  <c r="M59" i="3" s="1"/>
  <c r="O58" i="3"/>
  <c r="O57" i="3"/>
  <c r="L57" i="3"/>
  <c r="J57" i="3"/>
  <c r="I57" i="3"/>
  <c r="N57" i="3" s="1"/>
  <c r="O56" i="3"/>
  <c r="L56" i="3"/>
  <c r="I56" i="3"/>
  <c r="O55" i="3"/>
  <c r="L55" i="3"/>
  <c r="M55" i="3" s="1"/>
  <c r="I55" i="3"/>
  <c r="L53" i="3"/>
  <c r="O18" i="3"/>
  <c r="O17" i="3"/>
  <c r="O26" i="3"/>
  <c r="O25" i="3"/>
  <c r="O54" i="3"/>
  <c r="L54" i="3"/>
  <c r="I54" i="3"/>
  <c r="J53" i="3"/>
  <c r="I53" i="3"/>
  <c r="O52" i="3"/>
  <c r="L52" i="3"/>
  <c r="I52" i="3"/>
  <c r="N52" i="3" s="1"/>
  <c r="O51" i="3"/>
  <c r="L51" i="3"/>
  <c r="I51" i="3"/>
  <c r="O50" i="3"/>
  <c r="L50" i="3"/>
  <c r="I50" i="3"/>
  <c r="K50" i="3" s="1"/>
  <c r="M50" i="3" s="1"/>
  <c r="O49" i="3"/>
  <c r="L49" i="3"/>
  <c r="I49" i="3"/>
  <c r="O48" i="3"/>
  <c r="L48" i="3"/>
  <c r="J48" i="3"/>
  <c r="I48" i="3"/>
  <c r="O47" i="3"/>
  <c r="L47" i="3"/>
  <c r="I47" i="3"/>
  <c r="N47" i="3" s="1"/>
  <c r="O46" i="3"/>
  <c r="L46" i="3"/>
  <c r="I46" i="3"/>
  <c r="O45" i="3"/>
  <c r="L45" i="3"/>
  <c r="J45" i="3"/>
  <c r="I45" i="3"/>
  <c r="N45" i="3" s="1"/>
  <c r="O44" i="3"/>
  <c r="L44" i="3"/>
  <c r="I44" i="3"/>
  <c r="O43" i="3"/>
  <c r="L43" i="3"/>
  <c r="I43" i="3"/>
  <c r="N43" i="3" s="1"/>
  <c r="O42" i="3"/>
  <c r="L42" i="3"/>
  <c r="J42" i="3"/>
  <c r="I42" i="3"/>
  <c r="N42" i="3" s="1"/>
  <c r="O41" i="3"/>
  <c r="L41" i="3"/>
  <c r="I41" i="3"/>
  <c r="O40" i="3"/>
  <c r="L40" i="3"/>
  <c r="I40" i="3"/>
  <c r="K40" i="3" s="1"/>
  <c r="O39" i="3"/>
  <c r="L39" i="3"/>
  <c r="J39" i="3"/>
  <c r="I39" i="3"/>
  <c r="O38" i="3"/>
  <c r="L38" i="3"/>
  <c r="I38" i="3"/>
  <c r="O37" i="3"/>
  <c r="L37" i="3"/>
  <c r="I37" i="3"/>
  <c r="L28" i="3"/>
  <c r="L29" i="3"/>
  <c r="L30" i="3"/>
  <c r="L31" i="3"/>
  <c r="L32" i="3"/>
  <c r="L33" i="3"/>
  <c r="L34" i="3"/>
  <c r="M34" i="3" s="1"/>
  <c r="O34" i="3" s="1"/>
  <c r="L35" i="3"/>
  <c r="O36" i="3"/>
  <c r="L36" i="3"/>
  <c r="J36" i="3"/>
  <c r="J33" i="3"/>
  <c r="J30" i="3"/>
  <c r="L21" i="3"/>
  <c r="L20" i="3"/>
  <c r="L19" i="3"/>
  <c r="O27" i="3"/>
  <c r="L27" i="3"/>
  <c r="L23" i="3"/>
  <c r="J24" i="3"/>
  <c r="M24" i="3" s="1"/>
  <c r="O24" i="3" s="1"/>
  <c r="J21" i="3"/>
  <c r="J16" i="3"/>
  <c r="L26" i="3"/>
  <c r="L25" i="3"/>
  <c r="N26" i="3"/>
  <c r="N25" i="3"/>
  <c r="L24" i="3"/>
  <c r="O22" i="3"/>
  <c r="L22" i="3"/>
  <c r="L18" i="3"/>
  <c r="L17" i="3"/>
  <c r="N18" i="3"/>
  <c r="N17" i="3"/>
  <c r="L16" i="3"/>
  <c r="O15" i="3"/>
  <c r="L15" i="3"/>
  <c r="L14" i="3"/>
  <c r="M14" i="3" s="1"/>
  <c r="O14" i="3" s="1"/>
  <c r="O13" i="3"/>
  <c r="L13" i="3"/>
  <c r="O12" i="3"/>
  <c r="L12" i="3"/>
  <c r="M15" i="2"/>
  <c r="I34" i="2"/>
  <c r="I27" i="2"/>
  <c r="L16" i="2"/>
  <c r="J15" i="2"/>
  <c r="L14" i="2"/>
  <c r="L12" i="2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T21" i="1"/>
  <c r="T28" i="1"/>
  <c r="T27" i="1"/>
  <c r="T26" i="1"/>
  <c r="T25" i="1"/>
  <c r="T18" i="1"/>
  <c r="F69" i="3"/>
  <c r="I21" i="2"/>
  <c r="M21" i="2" s="1"/>
  <c r="O21" i="2" s="1"/>
  <c r="N21" i="2"/>
  <c r="I18" i="2"/>
  <c r="N66" i="3"/>
  <c r="N62" i="3"/>
  <c r="M62" i="3"/>
  <c r="N60" i="3"/>
  <c r="N59" i="3"/>
  <c r="N58" i="3"/>
  <c r="K58" i="3"/>
  <c r="M58" i="3" s="1"/>
  <c r="N55" i="3"/>
  <c r="N48" i="3"/>
  <c r="N44" i="3"/>
  <c r="M39" i="3"/>
  <c r="N36" i="3"/>
  <c r="N33" i="3"/>
  <c r="N32" i="3"/>
  <c r="N29" i="3"/>
  <c r="N27" i="3"/>
  <c r="K27" i="3"/>
  <c r="N23" i="3"/>
  <c r="N22" i="3"/>
  <c r="K22" i="3"/>
  <c r="M22" i="3" s="1"/>
  <c r="N19" i="3"/>
  <c r="N16" i="3"/>
  <c r="E35" i="2"/>
  <c r="N34" i="2"/>
  <c r="N33" i="2"/>
  <c r="N32" i="2"/>
  <c r="N31" i="2"/>
  <c r="I30" i="2"/>
  <c r="N28" i="2"/>
  <c r="N26" i="2"/>
  <c r="H25" i="2"/>
  <c r="N25" i="2" s="1"/>
  <c r="N24" i="2"/>
  <c r="L24" i="2"/>
  <c r="I24" i="2"/>
  <c r="N23" i="2"/>
  <c r="L23" i="2"/>
  <c r="I23" i="2"/>
  <c r="N22" i="2"/>
  <c r="L22" i="2"/>
  <c r="I22" i="2"/>
  <c r="N20" i="2"/>
  <c r="I19" i="2"/>
  <c r="M19" i="2" s="1"/>
  <c r="N17" i="2"/>
  <c r="L17" i="2"/>
  <c r="I17" i="2"/>
  <c r="M17" i="2" s="1"/>
  <c r="O17" i="2" s="1"/>
  <c r="N16" i="2"/>
  <c r="I16" i="2"/>
  <c r="N15" i="2"/>
  <c r="N14" i="2"/>
  <c r="I14" i="2"/>
  <c r="M14" i="2" s="1"/>
  <c r="O14" i="2" s="1"/>
  <c r="N13" i="2"/>
  <c r="L13" i="2"/>
  <c r="I13" i="2"/>
  <c r="N12" i="2"/>
  <c r="I12" i="2"/>
  <c r="T15" i="1"/>
  <c r="T16" i="1"/>
  <c r="T17" i="1"/>
  <c r="T19" i="1"/>
  <c r="T20" i="1"/>
  <c r="T22" i="1"/>
  <c r="T24" i="1"/>
  <c r="T29" i="1"/>
  <c r="M13" i="1"/>
  <c r="T13" i="1" s="1"/>
  <c r="M14" i="1"/>
  <c r="T14" i="1" s="1"/>
  <c r="M12" i="1"/>
  <c r="T12" i="1" s="1"/>
  <c r="T23" i="1"/>
  <c r="G30" i="1"/>
  <c r="M41" i="3" l="1"/>
  <c r="M27" i="3"/>
  <c r="M16" i="2"/>
  <c r="O16" i="2" s="1"/>
  <c r="N50" i="3"/>
  <c r="N34" i="3"/>
  <c r="N41" i="3"/>
  <c r="M22" i="2"/>
  <c r="O22" i="2" s="1"/>
  <c r="M23" i="2"/>
  <c r="O23" i="2" s="1"/>
  <c r="M24" i="2"/>
  <c r="O24" i="2" s="1"/>
  <c r="N19" i="2"/>
  <c r="O19" i="2" s="1"/>
  <c r="I33" i="2"/>
  <c r="L33" i="2"/>
  <c r="I31" i="2"/>
  <c r="M31" i="2" s="1"/>
  <c r="O31" i="2" s="1"/>
  <c r="M13" i="2"/>
  <c r="O13" i="2" s="1"/>
  <c r="N24" i="3"/>
  <c r="M32" i="3"/>
  <c r="O32" i="3" s="1"/>
  <c r="M48" i="3"/>
  <c r="N39" i="3"/>
  <c r="M63" i="3"/>
  <c r="N14" i="3"/>
  <c r="K37" i="3"/>
  <c r="M30" i="3"/>
  <c r="O30" i="3" s="1"/>
  <c r="N30" i="3"/>
  <c r="M42" i="3"/>
  <c r="N15" i="3"/>
  <c r="M28" i="3"/>
  <c r="O28" i="3" s="1"/>
  <c r="N35" i="3"/>
  <c r="N28" i="3"/>
  <c r="M40" i="3"/>
  <c r="M47" i="3"/>
  <c r="N51" i="3"/>
  <c r="N64" i="3"/>
  <c r="N13" i="3"/>
  <c r="M26" i="3"/>
  <c r="M31" i="3"/>
  <c r="O31" i="3" s="1"/>
  <c r="M38" i="3"/>
  <c r="N49" i="3"/>
  <c r="M54" i="3"/>
  <c r="N40" i="3"/>
  <c r="M45" i="3"/>
  <c r="M68" i="3"/>
  <c r="M19" i="3"/>
  <c r="O19" i="3" s="1"/>
  <c r="N21" i="3"/>
  <c r="N31" i="3"/>
  <c r="N38" i="3"/>
  <c r="K43" i="3"/>
  <c r="M43" i="3" s="1"/>
  <c r="M52" i="3"/>
  <c r="M57" i="3"/>
  <c r="K66" i="3"/>
  <c r="M66" i="3" s="1"/>
  <c r="M15" i="3"/>
  <c r="M20" i="3"/>
  <c r="O20" i="3" s="1"/>
  <c r="M44" i="3"/>
  <c r="N20" i="3"/>
  <c r="M25" i="3"/>
  <c r="M35" i="3"/>
  <c r="O35" i="3" s="1"/>
  <c r="N37" i="3"/>
  <c r="K49" i="3"/>
  <c r="M49" i="3" s="1"/>
  <c r="N53" i="3"/>
  <c r="M64" i="3"/>
  <c r="M13" i="3"/>
  <c r="M23" i="3"/>
  <c r="O23" i="3" s="1"/>
  <c r="M56" i="3"/>
  <c r="N56" i="3"/>
  <c r="M16" i="3"/>
  <c r="O16" i="3" s="1"/>
  <c r="M21" i="3"/>
  <c r="O21" i="3" s="1"/>
  <c r="M36" i="3"/>
  <c r="M29" i="3"/>
  <c r="O29" i="3" s="1"/>
  <c r="M17" i="3"/>
  <c r="M46" i="3"/>
  <c r="M53" i="3"/>
  <c r="O53" i="3" s="1"/>
  <c r="M67" i="3"/>
  <c r="M51" i="3"/>
  <c r="M18" i="3"/>
  <c r="N61" i="3"/>
  <c r="M61" i="3"/>
  <c r="N46" i="3"/>
  <c r="M12" i="2"/>
  <c r="O12" i="2" s="1"/>
  <c r="M27" i="2"/>
  <c r="I20" i="2"/>
  <c r="M20" i="2" s="1"/>
  <c r="O20" i="2" s="1"/>
  <c r="I25" i="2"/>
  <c r="N29" i="2"/>
  <c r="M34" i="2"/>
  <c r="O34" i="2" s="1"/>
  <c r="N27" i="2"/>
  <c r="I32" i="2"/>
  <c r="M32" i="2" s="1"/>
  <c r="O32" i="2" s="1"/>
  <c r="M18" i="2"/>
  <c r="O18" i="2" s="1"/>
  <c r="N18" i="2"/>
  <c r="I26" i="2"/>
  <c r="L28" i="2"/>
  <c r="N30" i="2"/>
  <c r="I29" i="2"/>
  <c r="M29" i="2" s="1"/>
  <c r="O29" i="2" s="1"/>
  <c r="M30" i="2"/>
  <c r="O30" i="2" s="1"/>
  <c r="L26" i="2"/>
  <c r="I28" i="2"/>
  <c r="O27" i="2" l="1"/>
  <c r="M37" i="3"/>
  <c r="M33" i="2"/>
  <c r="O33" i="2" s="1"/>
  <c r="M28" i="2"/>
  <c r="O28" i="2" s="1"/>
  <c r="M26" i="2"/>
  <c r="O26" i="2" s="1"/>
  <c r="M25" i="2"/>
  <c r="O25" i="2" s="1"/>
  <c r="O15" i="2"/>
  <c r="M33" i="3" l="1"/>
  <c r="O33" i="3" l="1"/>
</calcChain>
</file>

<file path=xl/sharedStrings.xml><?xml version="1.0" encoding="utf-8"?>
<sst xmlns="http://schemas.openxmlformats.org/spreadsheetml/2006/main" count="319" uniqueCount="139">
  <si>
    <t xml:space="preserve">                                                    </t>
  </si>
  <si>
    <t xml:space="preserve">ШТАТНИЙ РОЗПИС   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</si>
  <si>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</si>
  <si>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</si>
  <si>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</si>
  <si>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</si>
  <si>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</si>
  <si>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</si>
  <si>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</si>
  <si>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</si>
  <si>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</si>
  <si>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</si>
  <si>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</si>
  <si>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</si>
  <si>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</si>
  <si>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</si>
  <si>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</si>
  <si>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</si>
  <si>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</si>
  <si>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2455.2</t>
  </si>
  <si>
    <t>1229.6</t>
  </si>
  <si>
    <t>РАЗОМ:</t>
  </si>
  <si>
    <t xml:space="preserve">                                              </t>
  </si>
  <si>
    <t>Примітка.</t>
  </si>
  <si>
    <t>Складається органами державного управління та місцевого самоврядування.</t>
  </si>
  <si>
    <t>Директор центру</t>
  </si>
  <si>
    <t>Керівництво</t>
  </si>
  <si>
    <t>надбавка</t>
  </si>
  <si>
    <t>премія</t>
  </si>
  <si>
    <t>Керівник художній</t>
  </si>
  <si>
    <t>Адміністратор</t>
  </si>
  <si>
    <t>Діловод</t>
  </si>
  <si>
    <t>Гол. Бухгалтер</t>
  </si>
  <si>
    <t>Фахівці центру К.П.</t>
  </si>
  <si>
    <t>Методист</t>
  </si>
  <si>
    <t>Культурно-творчі фах</t>
  </si>
  <si>
    <t>звукорежисер</t>
  </si>
  <si>
    <t>Керівник гуртків</t>
  </si>
  <si>
    <t>Хореограф</t>
  </si>
  <si>
    <t>господарський відділ</t>
  </si>
  <si>
    <t>Завідувач господарс</t>
  </si>
  <si>
    <t>приб служб прим</t>
  </si>
  <si>
    <t>Роб з компл обслуг і рем</t>
  </si>
  <si>
    <t>Фонд заробітної плати 9 міс.  (грн.)</t>
  </si>
  <si>
    <t>Відділ бух обліку і звітності</t>
  </si>
  <si>
    <t xml:space="preserve">Вислуга років </t>
  </si>
  <si>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</t>
    </r>
  </si>
  <si>
    <t xml:space="preserve">Найм-ня структур. підрозділу </t>
  </si>
  <si>
    <t>Кільк. Шт. од.</t>
  </si>
  <si>
    <t>Фактична кільк. Шт.од.</t>
  </si>
  <si>
    <t xml:space="preserve">Надбавка за особливі умови праці - 50% посадового окладу  ПКМУ від 30.09.09 №1073 </t>
  </si>
  <si>
    <t>Надбавка за вислугу років МКИУ від 31.01.01</t>
  </si>
  <si>
    <t>Матеріальна допомога на оздоровлення ПКМУ від 22.01.05 №84</t>
  </si>
  <si>
    <t xml:space="preserve">Зав. Філіалом </t>
  </si>
  <si>
    <t xml:space="preserve">Бібліотекар І категорії </t>
  </si>
  <si>
    <t>2432.2</t>
  </si>
  <si>
    <t>Прибиральник</t>
  </si>
  <si>
    <t>Бібліотекар</t>
  </si>
  <si>
    <t>Глібівка</t>
  </si>
  <si>
    <t>Демидів</t>
  </si>
  <si>
    <t>Катюжанка</t>
  </si>
  <si>
    <t>2432.1</t>
  </si>
  <si>
    <t>Сухолуччя</t>
  </si>
  <si>
    <t>Толокунь</t>
  </si>
  <si>
    <t>Ясногородка</t>
  </si>
  <si>
    <t>Фонд заробітної плати 8 міс.  (грн.)</t>
  </si>
  <si>
    <t>зав. Філії</t>
  </si>
  <si>
    <t>будинок культури</t>
  </si>
  <si>
    <t>худ.кер</t>
  </si>
  <si>
    <t>акомпоніатор</t>
  </si>
  <si>
    <t>2453.2</t>
  </si>
  <si>
    <t>кер.гуртка</t>
  </si>
  <si>
    <t>прибиральник</t>
  </si>
  <si>
    <t>опалюв</t>
  </si>
  <si>
    <t>Гута-Катюжанська</t>
  </si>
  <si>
    <t>кер філії</t>
  </si>
  <si>
    <t>клуб</t>
  </si>
  <si>
    <t>зав. філії</t>
  </si>
  <si>
    <t>ЗСУ</t>
  </si>
  <si>
    <t>Савенки</t>
  </si>
  <si>
    <t>Федорівка клуб</t>
  </si>
  <si>
    <t>Круги клуб</t>
  </si>
  <si>
    <t>Вахівка клуб</t>
  </si>
  <si>
    <t>Рудня-Димерська</t>
  </si>
  <si>
    <t>Литвинівка клуб</t>
  </si>
  <si>
    <t>прост.</t>
  </si>
  <si>
    <t>Лісовичі</t>
  </si>
  <si>
    <t>зав.філії</t>
  </si>
  <si>
    <t>керівн.гуртк</t>
  </si>
  <si>
    <t>прибир</t>
  </si>
  <si>
    <t>Любимівка клуб</t>
  </si>
  <si>
    <t>Сичівка клуб</t>
  </si>
  <si>
    <t>зав.клуб</t>
  </si>
  <si>
    <t>Х</t>
  </si>
  <si>
    <t>%, премія</t>
  </si>
  <si>
    <t>%,надбавка</t>
  </si>
  <si>
    <t>2419.2</t>
  </si>
  <si>
    <t>Фахівець з публічних закупівель</t>
  </si>
  <si>
    <t>Фахівець із  персоналу</t>
  </si>
  <si>
    <t>Фізкульт. Спорт. Відділ</t>
  </si>
  <si>
    <t xml:space="preserve">Тренер з футболу </t>
  </si>
  <si>
    <t>тренер з волейболу</t>
  </si>
  <si>
    <t>опалювач</t>
  </si>
  <si>
    <t>(бібліотеки)</t>
  </si>
  <si>
    <t>рік</t>
  </si>
  <si>
    <t>сел-щеДимер</t>
  </si>
  <si>
    <t>с.Абрамівка</t>
  </si>
  <si>
    <t>с.Богдани</t>
  </si>
  <si>
    <t>с.Вахівка</t>
  </si>
  <si>
    <t>с.Глібівка</t>
  </si>
  <si>
    <t>с.Демидів</t>
  </si>
  <si>
    <t>с.Катюжанка</t>
  </si>
  <si>
    <t>с.Козаровичі</t>
  </si>
  <si>
    <t>с.Литвинівка</t>
  </si>
  <si>
    <t>с.Любимівка</t>
  </si>
  <si>
    <t>с.Лісовичи</t>
  </si>
  <si>
    <t>с.Рови</t>
  </si>
  <si>
    <t>с.Р.Димер</t>
  </si>
  <si>
    <t>с.Сичівка</t>
  </si>
  <si>
    <t>с.Сухолуччя</t>
  </si>
  <si>
    <t>с.Толокунь</t>
  </si>
  <si>
    <t>с.Федорівка</t>
  </si>
  <si>
    <t>с.Ясногородка</t>
  </si>
  <si>
    <t xml:space="preserve">  КЗ ЦКП Димерської селищної ради "КРАЇНА МРІЙ"  2026 рік</t>
  </si>
  <si>
    <t>Організатор культ-дозв роб</t>
  </si>
  <si>
    <t>молодіжний працівник</t>
  </si>
  <si>
    <t xml:space="preserve">КЗ ЦКП Димерської селищної ради "КРАЇНА МРІЙ"        (Бібліотеки)     на 2026 рік </t>
  </si>
  <si>
    <t>2026 рік</t>
  </si>
  <si>
    <t>Фонд заробітної плати на рік (грн.)</t>
  </si>
  <si>
    <t>Доплата за миючі засобт, 10%</t>
  </si>
  <si>
    <r>
      <t>КЗ ЦКП Димерської селищної ради "КРАЇНА МРІЙ"</t>
    </r>
    <r>
      <rPr>
        <u/>
        <sz val="11"/>
        <color theme="1"/>
        <rFont val="Times New Roman"/>
        <family val="1"/>
        <charset val="204"/>
      </rPr>
      <t xml:space="preserve">           (Будинки  культури(клуби))       на 2026  рік</t>
    </r>
  </si>
  <si>
    <t>"____"______________ 2026р</t>
  </si>
  <si>
    <t>Додаток 2</t>
  </si>
  <si>
    <t>до рішення Димерської селищної ради</t>
  </si>
  <si>
    <t>№2473-78-VІІІ від 23.01.2026 року</t>
  </si>
  <si>
    <t>Секретар селищної ради</t>
  </si>
  <si>
    <t>Лдмила ІВАНОВА</t>
  </si>
  <si>
    <t>Людмила ІВАНОВА</t>
  </si>
  <si>
    <t xml:space="preserve">до рішення Димерської селищної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</si>
</sst>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3" xfId="0" applyFont="1" applyBorder="1" applyAlignment="1">
      <alignment vertical="top" wrapText="1"/>
    </xf>
    <xf numFmtId="49" fontId="11" fillId="0" borderId="2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 vertical="center"/>
    </xf>
    <xf numFmtId="0" fontId="13" fillId="0" borderId="3" xfId="0" applyFont="1" applyBorder="1"/>
    <xf numFmtId="0" fontId="9" fillId="0" borderId="3" xfId="0" applyFont="1" applyBorder="1"/>
    <xf numFmtId="1" fontId="13" fillId="0" borderId="6" xfId="0" applyNumberFormat="1" applyFont="1" applyBorder="1" applyAlignment="1">
      <alignment horizontal="center"/>
    </xf>
    <xf numFmtId="0" fontId="13" fillId="0" borderId="6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2" fontId="2" fillId="0" borderId="0" xfId="0" applyNumberFormat="1" applyFont="1"/>
    <xf numFmtId="0" fontId="17" fillId="0" borderId="0" xfId="0" applyFo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24" fillId="3" borderId="0" xfId="0" applyFont="1" applyFill="1"/>
    <xf numFmtId="2" fontId="19" fillId="3" borderId="0" xfId="0" applyNumberFormat="1" applyFont="1" applyFill="1" applyAlignment="1">
      <alignment horizontal="right"/>
    </xf>
    <xf numFmtId="0" fontId="16" fillId="0" borderId="0" xfId="0" applyFont="1"/>
    <xf numFmtId="0" fontId="24" fillId="0" borderId="0" xfId="0" applyFont="1"/>
    <xf numFmtId="0" fontId="17" fillId="0" borderId="0" xfId="0" applyFont="1" applyAlignment="1">
      <alignment horizontal="right" vertical="center"/>
    </xf>
    <xf numFmtId="0" fontId="23" fillId="0" borderId="0" xfId="0" applyFont="1"/>
    <xf numFmtId="0" fontId="27" fillId="0" borderId="0" xfId="0" applyFont="1" applyAlignment="1">
      <alignment horizontal="left"/>
    </xf>
    <xf numFmtId="0" fontId="27" fillId="0" borderId="0" xfId="0" applyFont="1"/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3" xfId="0" applyFont="1" applyBorder="1" applyAlignment="1">
      <alignment vertical="top" wrapText="1"/>
    </xf>
    <xf numFmtId="0" fontId="31" fillId="0" borderId="3" xfId="0" applyFont="1" applyBorder="1"/>
    <xf numFmtId="49" fontId="31" fillId="0" borderId="3" xfId="0" applyNumberFormat="1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2" fontId="32" fillId="0" borderId="3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vertical="center" wrapText="1"/>
    </xf>
    <xf numFmtId="2" fontId="30" fillId="0" borderId="7" xfId="0" applyNumberFormat="1" applyFont="1" applyBorder="1" applyAlignment="1">
      <alignment horizontal="center" vertical="center" wrapText="1"/>
    </xf>
    <xf numFmtId="0" fontId="30" fillId="0" borderId="0" xfId="0" applyFont="1"/>
    <xf numFmtId="0" fontId="31" fillId="0" borderId="3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1" fillId="3" borderId="3" xfId="0" applyFont="1" applyFill="1" applyBorder="1"/>
    <xf numFmtId="0" fontId="31" fillId="0" borderId="7" xfId="0" applyFont="1" applyBorder="1"/>
    <xf numFmtId="0" fontId="19" fillId="0" borderId="3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 wrapText="1"/>
    </xf>
    <xf numFmtId="0" fontId="34" fillId="0" borderId="11" xfId="0" applyFont="1" applyBorder="1"/>
    <xf numFmtId="0" fontId="35" fillId="0" borderId="11" xfId="0" applyFont="1" applyBorder="1"/>
    <xf numFmtId="0" fontId="35" fillId="0" borderId="11" xfId="0" applyFont="1" applyBorder="1" applyAlignment="1">
      <alignment horizontal="center" vertical="center"/>
    </xf>
    <xf numFmtId="0" fontId="35" fillId="0" borderId="11" xfId="0" applyFont="1" applyBorder="1" applyAlignment="1">
      <alignment vertical="top" wrapText="1"/>
    </xf>
    <xf numFmtId="0" fontId="34" fillId="0" borderId="0" xfId="0" applyFont="1"/>
    <xf numFmtId="2" fontId="23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2" fontId="17" fillId="0" borderId="0" xfId="0" applyNumberFormat="1" applyFont="1"/>
    <xf numFmtId="0" fontId="34" fillId="0" borderId="0" xfId="0" applyFont="1" applyAlignment="1">
      <alignment horizontal="center" vertical="center"/>
    </xf>
    <xf numFmtId="0" fontId="36" fillId="0" borderId="0" xfId="0" applyFont="1"/>
    <xf numFmtId="0" fontId="17" fillId="0" borderId="0" xfId="0" applyFont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vertical="center"/>
    </xf>
    <xf numFmtId="1" fontId="12" fillId="0" borderId="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1" fontId="12" fillId="0" borderId="6" xfId="0" applyNumberFormat="1" applyFont="1" applyBorder="1" applyAlignment="1">
      <alignment horizontal="center" vertical="center"/>
    </xf>
    <xf numFmtId="0" fontId="37" fillId="0" borderId="0" xfId="0" applyFont="1"/>
    <xf numFmtId="1" fontId="38" fillId="0" borderId="0" xfId="0" applyNumberFormat="1" applyFont="1" applyAlignment="1">
      <alignment horizontal="center"/>
    </xf>
    <xf numFmtId="0" fontId="37" fillId="0" borderId="0" xfId="0" applyFont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2" borderId="0" xfId="0" applyFont="1" applyFill="1"/>
    <xf numFmtId="0" fontId="39" fillId="0" borderId="0" xfId="0" applyFont="1"/>
    <xf numFmtId="0" fontId="4" fillId="0" borderId="2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vertical="top" wrapText="1"/>
    </xf>
    <xf numFmtId="49" fontId="40" fillId="0" borderId="2" xfId="0" applyNumberFormat="1" applyFont="1" applyBorder="1" applyAlignment="1">
      <alignment horizontal="left" vertical="center" wrapText="1"/>
    </xf>
    <xf numFmtId="0" fontId="41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0" fillId="0" borderId="3" xfId="0" applyFont="1" applyBorder="1" applyAlignment="1">
      <alignment horizontal="left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0" fillId="0" borderId="3" xfId="0" applyFont="1" applyBorder="1" applyAlignment="1">
      <alignment vertical="center" wrapText="1"/>
    </xf>
    <xf numFmtId="1" fontId="41" fillId="0" borderId="3" xfId="0" applyNumberFormat="1" applyFont="1" applyBorder="1" applyAlignment="1">
      <alignment horizontal="center" vertical="center"/>
    </xf>
    <xf numFmtId="1" fontId="41" fillId="0" borderId="2" xfId="0" applyNumberFormat="1" applyFont="1" applyBorder="1" applyAlignment="1">
      <alignment horizontal="center" vertical="center"/>
    </xf>
    <xf numFmtId="1" fontId="41" fillId="0" borderId="5" xfId="0" applyNumberFormat="1" applyFont="1" applyBorder="1" applyAlignment="1">
      <alignment horizontal="center" vertical="center"/>
    </xf>
    <xf numFmtId="49" fontId="40" fillId="0" borderId="6" xfId="0" applyNumberFormat="1" applyFont="1" applyBorder="1" applyAlignment="1">
      <alignment vertical="center" wrapText="1"/>
    </xf>
    <xf numFmtId="0" fontId="40" fillId="0" borderId="7" xfId="0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49" fontId="40" fillId="0" borderId="9" xfId="0" applyNumberFormat="1" applyFont="1" applyBorder="1" applyAlignment="1">
      <alignment horizontal="left" vertical="center" wrapText="1"/>
    </xf>
    <xf numFmtId="1" fontId="41" fillId="0" borderId="10" xfId="0" applyNumberFormat="1" applyFont="1" applyBorder="1" applyAlignment="1">
      <alignment horizontal="center" vertical="center"/>
    </xf>
    <xf numFmtId="49" fontId="40" fillId="0" borderId="7" xfId="0" applyNumberFormat="1" applyFont="1" applyBorder="1" applyAlignment="1">
      <alignment horizontal="left" vertical="center" wrapText="1"/>
    </xf>
    <xf numFmtId="49" fontId="40" fillId="0" borderId="3" xfId="0" applyNumberFormat="1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vertical="center" wrapText="1"/>
    </xf>
    <xf numFmtId="49" fontId="40" fillId="0" borderId="2" xfId="0" applyNumberFormat="1" applyFont="1" applyBorder="1" applyAlignment="1">
      <alignment horizontal="left" vertical="center"/>
    </xf>
    <xf numFmtId="49" fontId="40" fillId="0" borderId="7" xfId="0" applyNumberFormat="1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0" fontId="5" fillId="0" borderId="3" xfId="0" applyFont="1" applyBorder="1"/>
    <xf numFmtId="1" fontId="5" fillId="0" borderId="6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9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20" fillId="3" borderId="0" xfId="0" applyFont="1" applyFill="1" applyAlignment="1">
      <alignment horizontal="right"/>
    </xf>
    <xf numFmtId="0" fontId="19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29" fillId="0" borderId="1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0"/>
  <sheetViews>
    <sheetView topLeftCell="B1" workbookViewId="0">
      <selection activeCell="P34" sqref="P34"/>
    </sheetView>
  </sheetViews>
  <sheetFormatPr defaultRowHeight="14.4" x14ac:dyDescent="0.3"/>
  <cols>
    <col min="1" max="1" width="3" hidden="1" customWidth="1"/>
    <col min="2" max="2" width="3.44140625" customWidth="1"/>
    <col min="3" max="3" width="10.21875" customWidth="1"/>
    <col min="4" max="4" width="3.21875" style="51" hidden="1" customWidth="1"/>
    <col min="5" max="5" width="12.77734375" customWidth="1"/>
    <col min="6" max="6" width="7.21875" customWidth="1"/>
    <col min="7" max="8" width="4.77734375" style="52" customWidth="1"/>
    <col min="9" max="9" width="4.77734375" customWidth="1"/>
    <col min="10" max="10" width="8.44140625" customWidth="1"/>
    <col min="11" max="11" width="7.77734375" customWidth="1"/>
    <col min="12" max="12" width="6" customWidth="1"/>
    <col min="13" max="13" width="8" customWidth="1"/>
    <col min="14" max="14" width="8.77734375" customWidth="1"/>
    <col min="15" max="15" width="10.5546875" customWidth="1"/>
    <col min="16" max="16" width="8.77734375" customWidth="1"/>
    <col min="17" max="17" width="10.109375" customWidth="1"/>
    <col min="18" max="18" width="3.77734375" customWidth="1"/>
    <col min="19" max="19" width="7.6640625" customWidth="1"/>
    <col min="20" max="20" width="10.21875" customWidth="1"/>
    <col min="21" max="21" width="9.5546875" customWidth="1"/>
    <col min="22" max="22" width="10.21875" customWidth="1"/>
    <col min="23" max="23" width="1.109375" customWidth="1"/>
  </cols>
  <sheetData>
    <row r="1" spans="1:24" s="1" customFormat="1" ht="13.8" x14ac:dyDescent="0.25">
      <c r="D1" s="2"/>
      <c r="T1" s="166"/>
      <c r="U1" s="166"/>
      <c r="V1" s="166"/>
    </row>
    <row r="2" spans="1:24" s="1" customFormat="1" ht="13.8" x14ac:dyDescent="0.25">
      <c r="A2" s="10"/>
      <c r="B2" s="121"/>
      <c r="C2" s="121"/>
      <c r="D2" s="11"/>
      <c r="E2" s="121"/>
      <c r="F2" s="121"/>
      <c r="G2" s="121"/>
      <c r="H2" s="121"/>
      <c r="I2" s="122"/>
      <c r="J2" s="12"/>
      <c r="K2" s="12"/>
      <c r="L2" s="12"/>
      <c r="M2" s="167"/>
      <c r="N2" s="167"/>
      <c r="O2" s="167"/>
      <c r="P2" s="167"/>
      <c r="Q2" s="167"/>
      <c r="R2" s="167"/>
      <c r="S2" s="167"/>
      <c r="T2" s="6"/>
      <c r="U2" s="167"/>
      <c r="V2" s="167"/>
      <c r="W2" s="10"/>
    </row>
    <row r="3" spans="1:24" s="1" customFormat="1" ht="13.8" x14ac:dyDescent="0.25">
      <c r="A3" s="10"/>
      <c r="B3" s="10"/>
      <c r="C3" s="10"/>
      <c r="D3" s="11"/>
      <c r="E3" s="10"/>
      <c r="F3" s="10"/>
      <c r="G3" s="10"/>
      <c r="H3" s="10"/>
      <c r="I3" s="10"/>
      <c r="J3" s="12"/>
      <c r="K3" s="12"/>
      <c r="L3" s="12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0"/>
    </row>
    <row r="4" spans="1:24" s="1" customFormat="1" ht="13.8" x14ac:dyDescent="0.25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23"/>
      <c r="N4" s="123"/>
      <c r="O4" s="123"/>
      <c r="P4" s="123"/>
      <c r="Q4" s="123"/>
      <c r="R4" s="123"/>
      <c r="S4" s="123" t="s">
        <v>132</v>
      </c>
      <c r="T4" s="123"/>
      <c r="U4" s="120"/>
      <c r="V4" s="9"/>
      <c r="W4" s="10"/>
    </row>
    <row r="5" spans="1:24" s="1" customFormat="1" ht="13.8" x14ac:dyDescent="0.25">
      <c r="A5" s="10"/>
      <c r="B5" s="12"/>
      <c r="C5" s="12"/>
      <c r="D5" s="11"/>
      <c r="E5" s="12"/>
      <c r="F5" s="12"/>
      <c r="G5" s="12"/>
      <c r="H5" s="12"/>
      <c r="I5" s="12"/>
      <c r="J5" s="165" t="s">
        <v>133</v>
      </c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0"/>
    </row>
    <row r="6" spans="1:24" s="1" customFormat="1" ht="13.8" x14ac:dyDescent="0.25">
      <c r="A6" s="10"/>
      <c r="B6" s="10"/>
      <c r="C6" s="10"/>
      <c r="D6" s="11"/>
      <c r="E6" s="10"/>
      <c r="F6" s="10"/>
      <c r="G6" s="10"/>
      <c r="H6" s="10"/>
      <c r="I6" s="10"/>
      <c r="J6" s="165" t="s">
        <v>134</v>
      </c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0"/>
    </row>
    <row r="7" spans="1:24" s="1" customFormat="1" ht="13.8" x14ac:dyDescent="0.25">
      <c r="A7" s="10"/>
      <c r="B7" s="12" t="s">
        <v>0</v>
      </c>
      <c r="C7" s="12"/>
      <c r="D7" s="11"/>
      <c r="E7" s="12"/>
      <c r="F7" s="12"/>
      <c r="G7" s="12"/>
      <c r="H7" s="12"/>
      <c r="I7" s="12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0"/>
    </row>
    <row r="8" spans="1:24" s="1" customFormat="1" ht="13.8" x14ac:dyDescent="0.25">
      <c r="A8" s="10"/>
      <c r="B8" s="171" t="s">
        <v>1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</row>
    <row r="9" spans="1:24" s="1" customFormat="1" ht="13.8" x14ac:dyDescent="0.25">
      <c r="A9" s="10"/>
      <c r="B9" s="172" t="s">
        <v>123</v>
      </c>
      <c r="C9" s="172"/>
      <c r="D9" s="172"/>
      <c r="E9" s="172"/>
      <c r="F9" s="172"/>
      <c r="G9" s="172"/>
      <c r="H9" s="172"/>
      <c r="I9" s="172"/>
      <c r="J9" s="172"/>
      <c r="K9" s="124" t="s">
        <v>104</v>
      </c>
      <c r="L9" s="124"/>
      <c r="M9" s="124"/>
      <c r="N9" s="124"/>
      <c r="O9" s="124"/>
      <c r="P9" s="124"/>
      <c r="Q9" s="124"/>
      <c r="R9" s="124"/>
      <c r="S9" s="124"/>
      <c r="T9" s="10"/>
      <c r="U9" s="10"/>
      <c r="V9" s="10"/>
      <c r="W9" s="10"/>
    </row>
    <row r="10" spans="1:24" s="1" customFormat="1" ht="13.8" x14ac:dyDescent="0.25">
      <c r="A10" s="10"/>
      <c r="B10" s="173" t="s">
        <v>2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4"/>
      <c r="V10" s="174"/>
      <c r="W10" s="174"/>
    </row>
    <row r="11" spans="1:24" s="21" customFormat="1" ht="79.2" x14ac:dyDescent="0.3">
      <c r="A11" s="20"/>
      <c r="B11" s="125" t="s">
        <v>4</v>
      </c>
      <c r="C11" s="125" t="s">
        <v>5</v>
      </c>
      <c r="D11" s="126" t="s">
        <v>6</v>
      </c>
      <c r="E11" s="127" t="s">
        <v>7</v>
      </c>
      <c r="F11" s="128" t="s">
        <v>8</v>
      </c>
      <c r="G11" s="128" t="s">
        <v>9</v>
      </c>
      <c r="H11" s="128" t="s">
        <v>10</v>
      </c>
      <c r="I11" s="128" t="s">
        <v>11</v>
      </c>
      <c r="J11" s="128" t="s">
        <v>12</v>
      </c>
      <c r="K11" s="128" t="s">
        <v>13</v>
      </c>
      <c r="L11" s="128" t="s">
        <v>14</v>
      </c>
      <c r="M11" s="128" t="s">
        <v>45</v>
      </c>
      <c r="N11" s="128" t="s">
        <v>95</v>
      </c>
      <c r="O11" s="128" t="s">
        <v>27</v>
      </c>
      <c r="P11" s="128" t="s">
        <v>94</v>
      </c>
      <c r="Q11" s="128" t="s">
        <v>28</v>
      </c>
      <c r="R11" s="128"/>
      <c r="S11" s="128" t="s">
        <v>15</v>
      </c>
      <c r="T11" s="128" t="s">
        <v>16</v>
      </c>
      <c r="U11" s="129" t="s">
        <v>17</v>
      </c>
      <c r="V11" s="128" t="s">
        <v>43</v>
      </c>
      <c r="W11" s="20"/>
    </row>
    <row r="12" spans="1:24" s="1" customFormat="1" ht="26.4" x14ac:dyDescent="0.25">
      <c r="A12" s="130"/>
      <c r="B12" s="131">
        <v>1</v>
      </c>
      <c r="C12" s="132" t="s">
        <v>26</v>
      </c>
      <c r="D12" s="133"/>
      <c r="E12" s="132" t="s">
        <v>25</v>
      </c>
      <c r="F12" s="134" t="s">
        <v>18</v>
      </c>
      <c r="G12" s="135">
        <v>1</v>
      </c>
      <c r="H12" s="135">
        <v>1</v>
      </c>
      <c r="I12" s="128">
        <v>16</v>
      </c>
      <c r="J12" s="136">
        <v>9681</v>
      </c>
      <c r="K12" s="137"/>
      <c r="L12" s="138">
        <v>0.1</v>
      </c>
      <c r="M12" s="137">
        <f>J12*L12</f>
        <v>968.1</v>
      </c>
      <c r="N12" s="137">
        <v>50</v>
      </c>
      <c r="O12" s="137">
        <v>4840.5</v>
      </c>
      <c r="P12" s="137">
        <v>300</v>
      </c>
      <c r="Q12" s="137">
        <v>29043</v>
      </c>
      <c r="R12" s="137"/>
      <c r="S12" s="137"/>
      <c r="T12" s="136">
        <f t="shared" ref="T12:T29" si="0">J12+M12+O12+Q12+S12+K12</f>
        <v>44532.6</v>
      </c>
      <c r="U12" s="139">
        <v>9681</v>
      </c>
      <c r="V12" s="140">
        <f t="shared" ref="V12:V25" si="1">SUM(T12*12+U12)</f>
        <v>544072.19999999995</v>
      </c>
      <c r="W12" s="10"/>
      <c r="X12" s="53"/>
    </row>
    <row r="13" spans="1:24" s="1" customFormat="1" ht="26.4" x14ac:dyDescent="0.25">
      <c r="A13" s="130"/>
      <c r="B13" s="131"/>
      <c r="C13" s="141"/>
      <c r="D13" s="142"/>
      <c r="E13" s="143" t="s">
        <v>29</v>
      </c>
      <c r="F13" s="134" t="s">
        <v>19</v>
      </c>
      <c r="G13" s="135">
        <v>1</v>
      </c>
      <c r="H13" s="135"/>
      <c r="I13" s="128">
        <v>12</v>
      </c>
      <c r="J13" s="136">
        <v>7356</v>
      </c>
      <c r="K13" s="137"/>
      <c r="L13" s="138">
        <v>0.2</v>
      </c>
      <c r="M13" s="137">
        <f>J13*L13</f>
        <v>1471.2</v>
      </c>
      <c r="N13" s="137">
        <v>50</v>
      </c>
      <c r="O13" s="137">
        <v>3678</v>
      </c>
      <c r="P13" s="137">
        <v>100</v>
      </c>
      <c r="Q13" s="137">
        <v>7356</v>
      </c>
      <c r="R13" s="137"/>
      <c r="S13" s="137"/>
      <c r="T13" s="136">
        <f t="shared" si="0"/>
        <v>19861.2</v>
      </c>
      <c r="U13" s="139">
        <v>7356</v>
      </c>
      <c r="V13" s="140">
        <f t="shared" si="1"/>
        <v>245690.40000000002</v>
      </c>
      <c r="W13" s="10"/>
    </row>
    <row r="14" spans="1:24" s="1" customFormat="1" ht="13.8" x14ac:dyDescent="0.25">
      <c r="A14" s="130"/>
      <c r="B14" s="131"/>
      <c r="C14" s="141"/>
      <c r="D14" s="144"/>
      <c r="E14" s="143" t="s">
        <v>30</v>
      </c>
      <c r="F14" s="134"/>
      <c r="G14" s="135">
        <v>1</v>
      </c>
      <c r="H14" s="135">
        <v>1</v>
      </c>
      <c r="I14" s="128">
        <v>5</v>
      </c>
      <c r="J14" s="136">
        <v>4719</v>
      </c>
      <c r="K14" s="137"/>
      <c r="L14" s="138">
        <v>0.3</v>
      </c>
      <c r="M14" s="137">
        <f>J14*L14</f>
        <v>1415.7</v>
      </c>
      <c r="N14" s="137">
        <v>50</v>
      </c>
      <c r="O14" s="137">
        <v>2359.5</v>
      </c>
      <c r="P14" s="137">
        <v>100</v>
      </c>
      <c r="Q14" s="137">
        <v>4719</v>
      </c>
      <c r="R14" s="137"/>
      <c r="S14" s="137"/>
      <c r="T14" s="136">
        <f t="shared" si="0"/>
        <v>13213.2</v>
      </c>
      <c r="U14" s="139">
        <v>4719</v>
      </c>
      <c r="V14" s="140">
        <f t="shared" si="1"/>
        <v>163277.40000000002</v>
      </c>
      <c r="W14" s="10"/>
    </row>
    <row r="15" spans="1:24" s="1" customFormat="1" ht="26.4" x14ac:dyDescent="0.25">
      <c r="A15" s="130"/>
      <c r="B15" s="131"/>
      <c r="C15" s="141"/>
      <c r="D15" s="144"/>
      <c r="E15" s="143" t="s">
        <v>98</v>
      </c>
      <c r="F15" s="134"/>
      <c r="G15" s="135">
        <v>0.5</v>
      </c>
      <c r="H15" s="135"/>
      <c r="I15" s="128">
        <v>11</v>
      </c>
      <c r="J15" s="136">
        <v>3418</v>
      </c>
      <c r="K15" s="137"/>
      <c r="L15" s="138"/>
      <c r="M15" s="137"/>
      <c r="N15" s="137">
        <v>50</v>
      </c>
      <c r="O15" s="137">
        <v>1709</v>
      </c>
      <c r="P15" s="137">
        <v>100</v>
      </c>
      <c r="Q15" s="137">
        <v>3418</v>
      </c>
      <c r="R15" s="137"/>
      <c r="S15" s="137"/>
      <c r="T15" s="136">
        <f t="shared" si="0"/>
        <v>8545</v>
      </c>
      <c r="U15" s="139">
        <v>3418</v>
      </c>
      <c r="V15" s="140">
        <f t="shared" si="1"/>
        <v>105958</v>
      </c>
      <c r="W15" s="10"/>
    </row>
    <row r="16" spans="1:24" s="1" customFormat="1" ht="13.8" x14ac:dyDescent="0.25">
      <c r="A16" s="130"/>
      <c r="B16" s="131"/>
      <c r="C16" s="141"/>
      <c r="D16" s="145"/>
      <c r="E16" s="143" t="s">
        <v>31</v>
      </c>
      <c r="F16" s="134"/>
      <c r="G16" s="135">
        <v>1</v>
      </c>
      <c r="H16" s="135"/>
      <c r="I16" s="128">
        <v>5</v>
      </c>
      <c r="J16" s="136">
        <v>4719</v>
      </c>
      <c r="K16" s="137"/>
      <c r="L16" s="138"/>
      <c r="M16" s="137"/>
      <c r="N16" s="137">
        <v>50</v>
      </c>
      <c r="O16" s="137">
        <v>2359.5</v>
      </c>
      <c r="P16" s="137">
        <v>100</v>
      </c>
      <c r="Q16" s="137">
        <v>4719</v>
      </c>
      <c r="R16" s="137"/>
      <c r="S16" s="137"/>
      <c r="T16" s="136">
        <f t="shared" si="0"/>
        <v>11797.5</v>
      </c>
      <c r="U16" s="139">
        <v>4719</v>
      </c>
      <c r="V16" s="140">
        <f t="shared" si="1"/>
        <v>146289</v>
      </c>
      <c r="W16" s="10"/>
    </row>
    <row r="17" spans="1:23" s="1" customFormat="1" ht="39.6" x14ac:dyDescent="0.25">
      <c r="A17" s="130"/>
      <c r="B17" s="131">
        <v>2</v>
      </c>
      <c r="C17" s="132" t="s">
        <v>44</v>
      </c>
      <c r="D17" s="146"/>
      <c r="E17" s="147" t="s">
        <v>32</v>
      </c>
      <c r="F17" s="134"/>
      <c r="G17" s="135">
        <v>1</v>
      </c>
      <c r="H17" s="135">
        <v>1</v>
      </c>
      <c r="I17" s="128">
        <v>15</v>
      </c>
      <c r="J17" s="136">
        <v>8953</v>
      </c>
      <c r="K17" s="137"/>
      <c r="L17" s="138"/>
      <c r="M17" s="137"/>
      <c r="N17" s="137">
        <v>50</v>
      </c>
      <c r="O17" s="137">
        <v>4476.5</v>
      </c>
      <c r="P17" s="137">
        <v>100</v>
      </c>
      <c r="Q17" s="137">
        <v>8953</v>
      </c>
      <c r="R17" s="137"/>
      <c r="S17" s="137"/>
      <c r="T17" s="136">
        <f t="shared" si="0"/>
        <v>22382.5</v>
      </c>
      <c r="U17" s="139">
        <v>8953</v>
      </c>
      <c r="V17" s="140">
        <f t="shared" si="1"/>
        <v>277543</v>
      </c>
      <c r="W17" s="10"/>
    </row>
    <row r="18" spans="1:23" s="1" customFormat="1" ht="39.6" x14ac:dyDescent="0.25">
      <c r="A18" s="130"/>
      <c r="B18" s="131"/>
      <c r="C18" s="141"/>
      <c r="D18" s="145"/>
      <c r="E18" s="143" t="s">
        <v>97</v>
      </c>
      <c r="F18" s="134" t="s">
        <v>96</v>
      </c>
      <c r="G18" s="135">
        <v>0.5</v>
      </c>
      <c r="H18" s="135">
        <v>0.5</v>
      </c>
      <c r="I18" s="128">
        <v>10</v>
      </c>
      <c r="J18" s="136">
        <v>3157.5</v>
      </c>
      <c r="K18" s="137"/>
      <c r="L18" s="138"/>
      <c r="M18" s="137"/>
      <c r="N18" s="137">
        <v>50</v>
      </c>
      <c r="O18" s="137">
        <v>1578.75</v>
      </c>
      <c r="P18" s="137">
        <v>100</v>
      </c>
      <c r="Q18" s="137">
        <v>3157.5</v>
      </c>
      <c r="R18" s="137"/>
      <c r="S18" s="137"/>
      <c r="T18" s="136">
        <f>SUM(J18+O18+Q18)</f>
        <v>7893.75</v>
      </c>
      <c r="U18" s="137">
        <v>3157.5</v>
      </c>
      <c r="V18" s="140">
        <f t="shared" si="1"/>
        <v>97882.5</v>
      </c>
      <c r="W18" s="10"/>
    </row>
    <row r="19" spans="1:23" s="1" customFormat="1" ht="26.4" x14ac:dyDescent="0.25">
      <c r="A19" s="130"/>
      <c r="B19" s="131">
        <v>3</v>
      </c>
      <c r="C19" s="148" t="s">
        <v>33</v>
      </c>
      <c r="D19" s="142"/>
      <c r="E19" s="143" t="s">
        <v>34</v>
      </c>
      <c r="F19" s="134"/>
      <c r="G19" s="135">
        <v>2</v>
      </c>
      <c r="H19" s="135">
        <v>2</v>
      </c>
      <c r="I19" s="128">
        <v>11</v>
      </c>
      <c r="J19" s="136">
        <v>13672</v>
      </c>
      <c r="K19" s="137"/>
      <c r="L19" s="138"/>
      <c r="M19" s="137"/>
      <c r="N19" s="137">
        <v>50</v>
      </c>
      <c r="O19" s="137">
        <v>6836</v>
      </c>
      <c r="P19" s="137">
        <v>100</v>
      </c>
      <c r="Q19" s="137">
        <v>13672</v>
      </c>
      <c r="R19" s="137"/>
      <c r="S19" s="137"/>
      <c r="T19" s="136">
        <f t="shared" si="0"/>
        <v>34180</v>
      </c>
      <c r="U19" s="139">
        <v>13672</v>
      </c>
      <c r="V19" s="140">
        <f t="shared" si="1"/>
        <v>423832</v>
      </c>
      <c r="W19" s="10"/>
    </row>
    <row r="20" spans="1:23" s="1" customFormat="1" ht="39.6" x14ac:dyDescent="0.25">
      <c r="A20" s="130"/>
      <c r="B20" s="131"/>
      <c r="C20" s="141"/>
      <c r="D20" s="144"/>
      <c r="E20" s="143" t="s">
        <v>124</v>
      </c>
      <c r="F20" s="134"/>
      <c r="G20" s="135">
        <v>1</v>
      </c>
      <c r="H20" s="135">
        <v>1</v>
      </c>
      <c r="I20" s="128">
        <v>10</v>
      </c>
      <c r="J20" s="136">
        <v>6315</v>
      </c>
      <c r="K20" s="137"/>
      <c r="L20" s="138"/>
      <c r="M20" s="137"/>
      <c r="N20" s="137">
        <v>50</v>
      </c>
      <c r="O20" s="137">
        <v>3157.5</v>
      </c>
      <c r="P20" s="137">
        <v>100</v>
      </c>
      <c r="Q20" s="137">
        <v>6315</v>
      </c>
      <c r="R20" s="137"/>
      <c r="S20" s="137"/>
      <c r="T20" s="136">
        <f t="shared" si="0"/>
        <v>15787.5</v>
      </c>
      <c r="U20" s="139">
        <v>6315</v>
      </c>
      <c r="V20" s="140">
        <f t="shared" si="1"/>
        <v>195765</v>
      </c>
      <c r="W20" s="10"/>
    </row>
    <row r="21" spans="1:23" s="1" customFormat="1" ht="26.4" x14ac:dyDescent="0.25">
      <c r="A21" s="130"/>
      <c r="B21" s="131"/>
      <c r="C21" s="149"/>
      <c r="D21" s="145"/>
      <c r="E21" s="143" t="s">
        <v>125</v>
      </c>
      <c r="F21" s="134"/>
      <c r="G21" s="135">
        <v>2</v>
      </c>
      <c r="H21" s="135">
        <v>2</v>
      </c>
      <c r="I21" s="128">
        <v>9</v>
      </c>
      <c r="J21" s="136">
        <v>12006</v>
      </c>
      <c r="K21" s="137"/>
      <c r="L21" s="138"/>
      <c r="M21" s="137"/>
      <c r="N21" s="137">
        <v>50</v>
      </c>
      <c r="O21" s="137">
        <v>6003</v>
      </c>
      <c r="P21" s="137">
        <v>100</v>
      </c>
      <c r="Q21" s="137">
        <v>12006</v>
      </c>
      <c r="R21" s="137"/>
      <c r="S21" s="137"/>
      <c r="T21" s="136">
        <f t="shared" si="0"/>
        <v>30015</v>
      </c>
      <c r="U21" s="139">
        <v>12006</v>
      </c>
      <c r="V21" s="140">
        <f t="shared" si="1"/>
        <v>372186</v>
      </c>
      <c r="W21" s="10"/>
    </row>
    <row r="22" spans="1:23" s="1" customFormat="1" ht="26.4" x14ac:dyDescent="0.25">
      <c r="A22" s="130"/>
      <c r="B22" s="131">
        <v>4</v>
      </c>
      <c r="C22" s="149" t="s">
        <v>35</v>
      </c>
      <c r="D22" s="145"/>
      <c r="E22" s="143" t="s">
        <v>36</v>
      </c>
      <c r="F22" s="134" t="s">
        <v>19</v>
      </c>
      <c r="G22" s="135">
        <v>1</v>
      </c>
      <c r="H22" s="135">
        <v>1</v>
      </c>
      <c r="I22" s="128">
        <v>9</v>
      </c>
      <c r="J22" s="136">
        <v>6003</v>
      </c>
      <c r="K22" s="137"/>
      <c r="L22" s="138">
        <v>0.1</v>
      </c>
      <c r="M22" s="137">
        <v>600.29999999999995</v>
      </c>
      <c r="N22" s="137">
        <v>50</v>
      </c>
      <c r="O22" s="137">
        <v>3001.5</v>
      </c>
      <c r="P22" s="137">
        <v>100</v>
      </c>
      <c r="Q22" s="137">
        <v>6003</v>
      </c>
      <c r="R22" s="137"/>
      <c r="S22" s="137"/>
      <c r="T22" s="136">
        <f t="shared" si="0"/>
        <v>15607.8</v>
      </c>
      <c r="U22" s="139">
        <v>6003</v>
      </c>
      <c r="V22" s="140">
        <f t="shared" si="1"/>
        <v>193296.59999999998</v>
      </c>
      <c r="W22" s="10"/>
    </row>
    <row r="23" spans="1:23" s="1" customFormat="1" ht="26.4" x14ac:dyDescent="0.25">
      <c r="A23" s="130"/>
      <c r="B23" s="131"/>
      <c r="C23" s="132"/>
      <c r="D23" s="146"/>
      <c r="E23" s="147" t="s">
        <v>37</v>
      </c>
      <c r="F23" s="134" t="s">
        <v>20</v>
      </c>
      <c r="G23" s="135">
        <v>11</v>
      </c>
      <c r="H23" s="135">
        <v>6</v>
      </c>
      <c r="I23" s="128">
        <v>10</v>
      </c>
      <c r="J23" s="136">
        <v>63150</v>
      </c>
      <c r="K23" s="137"/>
      <c r="L23" s="138">
        <v>0.2</v>
      </c>
      <c r="M23" s="137">
        <v>12630</v>
      </c>
      <c r="N23" s="137">
        <v>50</v>
      </c>
      <c r="O23" s="137">
        <v>31575</v>
      </c>
      <c r="P23" s="137">
        <v>100</v>
      </c>
      <c r="Q23" s="137">
        <v>63150</v>
      </c>
      <c r="R23" s="137"/>
      <c r="S23" s="137"/>
      <c r="T23" s="136">
        <f t="shared" si="0"/>
        <v>170505</v>
      </c>
      <c r="U23" s="139">
        <v>63150</v>
      </c>
      <c r="V23" s="140">
        <f t="shared" si="1"/>
        <v>2109210</v>
      </c>
      <c r="W23" s="10"/>
    </row>
    <row r="24" spans="1:23" s="1" customFormat="1" ht="16.95" customHeight="1" x14ac:dyDescent="0.25">
      <c r="A24" s="130"/>
      <c r="B24" s="131"/>
      <c r="C24" s="150"/>
      <c r="D24" s="151"/>
      <c r="E24" s="147" t="s">
        <v>38</v>
      </c>
      <c r="F24" s="134"/>
      <c r="G24" s="135">
        <v>1</v>
      </c>
      <c r="H24" s="135">
        <v>1</v>
      </c>
      <c r="I24" s="128">
        <v>11</v>
      </c>
      <c r="J24" s="136">
        <v>6836</v>
      </c>
      <c r="K24" s="137"/>
      <c r="L24" s="138">
        <v>0.1</v>
      </c>
      <c r="M24" s="137">
        <v>683.6</v>
      </c>
      <c r="N24" s="137">
        <v>50</v>
      </c>
      <c r="O24" s="137">
        <v>3418</v>
      </c>
      <c r="P24" s="137">
        <v>100</v>
      </c>
      <c r="Q24" s="137">
        <v>6836</v>
      </c>
      <c r="R24" s="137"/>
      <c r="S24" s="137"/>
      <c r="T24" s="136">
        <f t="shared" si="0"/>
        <v>17773.599999999999</v>
      </c>
      <c r="U24" s="139">
        <v>6836</v>
      </c>
      <c r="V24" s="140">
        <f t="shared" si="1"/>
        <v>220119.19999999998</v>
      </c>
      <c r="W24" s="10"/>
    </row>
    <row r="25" spans="1:23" s="1" customFormat="1" ht="39.6" x14ac:dyDescent="0.25">
      <c r="A25" s="130"/>
      <c r="B25" s="131"/>
      <c r="C25" s="150" t="s">
        <v>99</v>
      </c>
      <c r="D25" s="151"/>
      <c r="E25" s="147" t="s">
        <v>100</v>
      </c>
      <c r="F25" s="134"/>
      <c r="G25" s="135">
        <v>1</v>
      </c>
      <c r="H25" s="135"/>
      <c r="I25" s="128">
        <v>10</v>
      </c>
      <c r="J25" s="136">
        <v>6315</v>
      </c>
      <c r="K25" s="137"/>
      <c r="L25" s="138"/>
      <c r="M25" s="137"/>
      <c r="N25" s="137">
        <v>50</v>
      </c>
      <c r="O25" s="137">
        <v>3157.5</v>
      </c>
      <c r="P25" s="137">
        <v>100</v>
      </c>
      <c r="Q25" s="137">
        <v>6315</v>
      </c>
      <c r="R25" s="137"/>
      <c r="S25" s="137"/>
      <c r="T25" s="136">
        <f>SUM(J25+O25+Q25)</f>
        <v>15787.5</v>
      </c>
      <c r="U25" s="139">
        <v>6315</v>
      </c>
      <c r="V25" s="140">
        <f t="shared" si="1"/>
        <v>195765</v>
      </c>
      <c r="W25" s="10"/>
    </row>
    <row r="26" spans="1:23" s="1" customFormat="1" ht="26.4" x14ac:dyDescent="0.25">
      <c r="A26" s="130"/>
      <c r="B26" s="131"/>
      <c r="C26" s="152"/>
      <c r="D26" s="142"/>
      <c r="E26" s="153" t="s">
        <v>101</v>
      </c>
      <c r="F26" s="134"/>
      <c r="G26" s="135">
        <v>1</v>
      </c>
      <c r="H26" s="135"/>
      <c r="I26" s="128">
        <v>10</v>
      </c>
      <c r="J26" s="136">
        <v>6315</v>
      </c>
      <c r="K26" s="137"/>
      <c r="L26" s="154"/>
      <c r="M26" s="137"/>
      <c r="N26" s="137">
        <v>50</v>
      </c>
      <c r="O26" s="137">
        <v>3157.5</v>
      </c>
      <c r="P26" s="137">
        <v>100</v>
      </c>
      <c r="Q26" s="137">
        <v>6315</v>
      </c>
      <c r="R26" s="137"/>
      <c r="S26" s="137"/>
      <c r="T26" s="136">
        <f>J26+M26+O26+S26+Q26</f>
        <v>15787.5</v>
      </c>
      <c r="U26" s="139">
        <v>6315</v>
      </c>
      <c r="V26" s="140">
        <f>SUM(T26*12+T26)</f>
        <v>205237.5</v>
      </c>
      <c r="W26" s="10"/>
    </row>
    <row r="27" spans="1:23" s="1" customFormat="1" ht="26.4" x14ac:dyDescent="0.25">
      <c r="A27" s="130"/>
      <c r="B27" s="131">
        <v>6</v>
      </c>
      <c r="C27" s="132" t="s">
        <v>39</v>
      </c>
      <c r="D27" s="145"/>
      <c r="E27" s="153" t="s">
        <v>40</v>
      </c>
      <c r="F27" s="134"/>
      <c r="G27" s="135">
        <v>1</v>
      </c>
      <c r="H27" s="135"/>
      <c r="I27" s="128">
        <v>8</v>
      </c>
      <c r="J27" s="136">
        <v>5691</v>
      </c>
      <c r="K27" s="137"/>
      <c r="L27" s="154"/>
      <c r="M27" s="137"/>
      <c r="N27" s="137">
        <v>50</v>
      </c>
      <c r="O27" s="137">
        <v>2845.5</v>
      </c>
      <c r="P27" s="137">
        <v>100</v>
      </c>
      <c r="Q27" s="137">
        <v>5691</v>
      </c>
      <c r="R27" s="137"/>
      <c r="S27" s="137"/>
      <c r="T27" s="136">
        <f>J27+M27+O27+S27+Q27</f>
        <v>14227.5</v>
      </c>
      <c r="U27" s="139">
        <v>5691</v>
      </c>
      <c r="V27" s="140">
        <f>SUM(T27*12+U27)</f>
        <v>176421</v>
      </c>
      <c r="W27" s="10"/>
    </row>
    <row r="28" spans="1:23" s="1" customFormat="1" ht="26.4" x14ac:dyDescent="0.25">
      <c r="A28" s="130"/>
      <c r="B28" s="131"/>
      <c r="C28" s="155"/>
      <c r="D28" s="146"/>
      <c r="E28" s="147" t="s">
        <v>41</v>
      </c>
      <c r="F28" s="134">
        <v>9132</v>
      </c>
      <c r="G28" s="135">
        <v>2</v>
      </c>
      <c r="H28" s="135">
        <v>2</v>
      </c>
      <c r="I28" s="128">
        <v>1</v>
      </c>
      <c r="J28" s="136">
        <v>6940</v>
      </c>
      <c r="K28" s="137">
        <v>694</v>
      </c>
      <c r="L28" s="154"/>
      <c r="M28" s="137"/>
      <c r="N28" s="137"/>
      <c r="O28" s="137"/>
      <c r="P28" s="137">
        <v>50</v>
      </c>
      <c r="Q28" s="137">
        <v>3470</v>
      </c>
      <c r="R28" s="137"/>
      <c r="S28" s="137">
        <v>6884</v>
      </c>
      <c r="T28" s="136">
        <f>SUM(J28+K28+S28+Q28)</f>
        <v>17988</v>
      </c>
      <c r="U28" s="139">
        <v>6940</v>
      </c>
      <c r="V28" s="140">
        <f>SUM(T28*12+U28)</f>
        <v>222796</v>
      </c>
      <c r="W28" s="10"/>
    </row>
    <row r="29" spans="1:23" s="1" customFormat="1" ht="26.4" x14ac:dyDescent="0.25">
      <c r="A29" s="130"/>
      <c r="B29" s="131"/>
      <c r="C29" s="156"/>
      <c r="D29" s="157"/>
      <c r="E29" s="147" t="s">
        <v>42</v>
      </c>
      <c r="F29" s="134"/>
      <c r="G29" s="135">
        <v>1</v>
      </c>
      <c r="H29" s="135"/>
      <c r="I29" s="128">
        <v>1</v>
      </c>
      <c r="J29" s="136">
        <v>3470</v>
      </c>
      <c r="K29" s="137"/>
      <c r="L29" s="154"/>
      <c r="M29" s="137"/>
      <c r="N29" s="137"/>
      <c r="O29" s="137"/>
      <c r="P29" s="137">
        <v>50</v>
      </c>
      <c r="Q29" s="137">
        <v>1735</v>
      </c>
      <c r="R29" s="137"/>
      <c r="S29" s="137">
        <v>3442</v>
      </c>
      <c r="T29" s="136">
        <f t="shared" si="0"/>
        <v>8647</v>
      </c>
      <c r="U29" s="139">
        <v>3470</v>
      </c>
      <c r="V29" s="140">
        <f>SUM(T29*12+U29)</f>
        <v>107234</v>
      </c>
      <c r="W29" s="10"/>
    </row>
    <row r="30" spans="1:23" s="1" customFormat="1" ht="18.75" customHeight="1" x14ac:dyDescent="0.25">
      <c r="A30" s="130"/>
      <c r="B30" s="158"/>
      <c r="C30" s="130"/>
      <c r="D30" s="159"/>
      <c r="E30" s="160" t="s">
        <v>21</v>
      </c>
      <c r="F30" s="161"/>
      <c r="G30" s="161">
        <f>SUM(G12:G29)</f>
        <v>30</v>
      </c>
      <c r="H30" s="161">
        <f>SUM(H12:H29)</f>
        <v>18.5</v>
      </c>
      <c r="I30" s="162"/>
      <c r="J30" s="163">
        <f>SUM(J12:J29)</f>
        <v>178716.5</v>
      </c>
      <c r="K30" s="163">
        <f>SUM(K28:K29)</f>
        <v>694</v>
      </c>
      <c r="L30" s="163"/>
      <c r="M30" s="163">
        <f>SUM(M12:M29)</f>
        <v>17768.899999999998</v>
      </c>
      <c r="N30" s="163" t="s">
        <v>93</v>
      </c>
      <c r="O30" s="163">
        <f>SUM(O12:O29)</f>
        <v>84153.25</v>
      </c>
      <c r="P30" s="163" t="s">
        <v>93</v>
      </c>
      <c r="Q30" s="163">
        <f>SUM(Q12:Q29)</f>
        <v>192873.5</v>
      </c>
      <c r="R30" s="163"/>
      <c r="S30" s="163">
        <f>SUM(S12:S29)</f>
        <v>10326</v>
      </c>
      <c r="T30" s="136">
        <f>SUM(T12:T29)</f>
        <v>484532.14999999997</v>
      </c>
      <c r="U30" s="163">
        <f>SUM(U12:U29)</f>
        <v>178716.5</v>
      </c>
      <c r="V30" s="163">
        <f>SUM(V12:V29)</f>
        <v>6002574.7999999998</v>
      </c>
      <c r="W30" s="10"/>
    </row>
    <row r="31" spans="1:23" s="1" customFormat="1" ht="13.8" x14ac:dyDescent="0.25">
      <c r="A31" s="10"/>
      <c r="B31" s="10"/>
      <c r="C31" s="10"/>
      <c r="D31" s="11"/>
      <c r="E31" s="44"/>
      <c r="F31" s="44"/>
      <c r="G31" s="45"/>
      <c r="H31" s="45"/>
      <c r="I31" s="46"/>
      <c r="J31" s="47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"/>
    </row>
    <row r="32" spans="1:23" s="1" customFormat="1" ht="13.8" x14ac:dyDescent="0.25">
      <c r="A32" s="10"/>
      <c r="B32" s="174"/>
      <c r="C32" s="174"/>
      <c r="D32" s="174"/>
      <c r="E32" s="174"/>
      <c r="F32" s="174"/>
      <c r="G32" s="174"/>
      <c r="H32" s="174"/>
      <c r="I32" s="174"/>
      <c r="J32" s="174"/>
      <c r="K32" s="10"/>
      <c r="L32" s="10"/>
      <c r="M32" s="10"/>
      <c r="N32" s="10"/>
      <c r="O32" s="10"/>
      <c r="P32" s="10"/>
      <c r="Q32" s="10"/>
      <c r="R32" s="10"/>
      <c r="S32" s="169"/>
      <c r="T32" s="169"/>
      <c r="U32" s="169"/>
      <c r="V32" s="169"/>
      <c r="W32" s="20"/>
    </row>
    <row r="33" spans="1:23" s="1" customFormat="1" ht="13.8" x14ac:dyDescent="0.25">
      <c r="A33" s="10"/>
      <c r="B33" s="12" t="s">
        <v>22</v>
      </c>
      <c r="C33" s="12"/>
      <c r="D33" s="11"/>
      <c r="E33" s="12"/>
      <c r="F33" s="12"/>
      <c r="G33" s="48"/>
      <c r="H33" s="48"/>
      <c r="I33" s="12"/>
      <c r="J33" s="12"/>
      <c r="K33" s="10"/>
      <c r="L33" s="10"/>
      <c r="M33" s="10"/>
      <c r="N33" s="10"/>
      <c r="O33" s="10"/>
      <c r="P33" s="10"/>
      <c r="Q33" s="10"/>
      <c r="R33" s="10"/>
      <c r="S33" s="169"/>
      <c r="T33" s="169"/>
      <c r="U33" s="169"/>
      <c r="V33" s="169"/>
      <c r="W33" s="20"/>
    </row>
    <row r="34" spans="1:23" s="1" customFormat="1" ht="13.8" x14ac:dyDescent="0.25">
      <c r="A34" s="174" t="s">
        <v>135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0"/>
      <c r="L34" s="10"/>
      <c r="M34" s="10"/>
      <c r="N34" s="10" t="s">
        <v>136</v>
      </c>
      <c r="O34" s="10"/>
      <c r="P34" s="10"/>
      <c r="Q34" s="10"/>
      <c r="R34" s="10"/>
      <c r="S34" s="10"/>
      <c r="T34" s="10"/>
      <c r="U34" s="10"/>
      <c r="V34" s="10"/>
      <c r="W34" s="20"/>
    </row>
    <row r="35" spans="1:23" s="1" customFormat="1" ht="13.8" x14ac:dyDescent="0.25">
      <c r="A35" s="10"/>
      <c r="B35" s="12" t="s">
        <v>22</v>
      </c>
      <c r="C35" s="12"/>
      <c r="D35" s="11"/>
      <c r="E35" s="12"/>
      <c r="F35" s="12"/>
      <c r="G35" s="48"/>
      <c r="H35" s="48"/>
      <c r="I35" s="12"/>
      <c r="J35" s="12"/>
      <c r="K35" s="10"/>
      <c r="L35" s="10"/>
      <c r="M35" s="10"/>
      <c r="N35" s="10"/>
      <c r="O35" s="10"/>
      <c r="P35" s="10"/>
      <c r="Q35" s="10"/>
      <c r="R35" s="10"/>
      <c r="S35" s="169"/>
      <c r="T35" s="169"/>
      <c r="U35" s="169"/>
      <c r="V35" s="169"/>
      <c r="W35" s="20"/>
    </row>
    <row r="36" spans="1:23" s="1" customFormat="1" ht="13.8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69"/>
      <c r="T36" s="169"/>
      <c r="U36" s="169"/>
      <c r="V36" s="169"/>
      <c r="W36" s="10"/>
    </row>
    <row r="37" spans="1:23" s="1" customFormat="1" ht="13.8" x14ac:dyDescent="0.25">
      <c r="B37" s="1" t="s">
        <v>24</v>
      </c>
    </row>
    <row r="38" spans="1:23" s="1" customFormat="1" ht="18" x14ac:dyDescent="0.35">
      <c r="A38" s="117"/>
      <c r="B38" s="117"/>
      <c r="C38" s="117"/>
      <c r="D38" s="118"/>
      <c r="E38" s="117"/>
      <c r="F38" s="117"/>
      <c r="G38" s="119"/>
      <c r="H38" s="119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</row>
    <row r="39" spans="1:23" s="1" customFormat="1" ht="18" x14ac:dyDescent="0.35">
      <c r="A39" s="117"/>
      <c r="B39" s="117"/>
      <c r="C39" s="117"/>
      <c r="D39" s="118"/>
      <c r="E39" s="117"/>
      <c r="F39" s="117"/>
      <c r="G39" s="119"/>
      <c r="H39" s="119"/>
      <c r="I39" s="117"/>
      <c r="J39" s="117"/>
      <c r="K39" s="117"/>
      <c r="L39" s="117"/>
      <c r="M39" s="119"/>
      <c r="N39" s="119"/>
      <c r="O39" s="119"/>
      <c r="P39" s="119"/>
      <c r="Q39" s="119"/>
      <c r="R39" s="119"/>
      <c r="S39" s="117"/>
      <c r="T39" s="117"/>
      <c r="U39" s="117"/>
      <c r="V39" s="117"/>
      <c r="W39" s="117"/>
    </row>
    <row r="40" spans="1:23" s="1" customFormat="1" x14ac:dyDescent="0.3">
      <c r="B40"/>
      <c r="C40"/>
      <c r="D40" s="51"/>
      <c r="E40"/>
      <c r="F40"/>
      <c r="G40" s="52"/>
      <c r="H40" s="52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</sheetData>
  <mergeCells count="17">
    <mergeCell ref="S36:V36"/>
    <mergeCell ref="J7:V7"/>
    <mergeCell ref="B8:W8"/>
    <mergeCell ref="B9:J9"/>
    <mergeCell ref="B10:T10"/>
    <mergeCell ref="U10:W10"/>
    <mergeCell ref="B32:J32"/>
    <mergeCell ref="S32:V32"/>
    <mergeCell ref="S33:V33"/>
    <mergeCell ref="A34:J34"/>
    <mergeCell ref="S35:V35"/>
    <mergeCell ref="J6:V6"/>
    <mergeCell ref="T1:V1"/>
    <mergeCell ref="M2:S2"/>
    <mergeCell ref="U2:V2"/>
    <mergeCell ref="M3:V3"/>
    <mergeCell ref="J5:V5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885F-9E27-4CEE-9E6C-586A0FAF9342}">
  <sheetPr>
    <pageSetUpPr fitToPage="1"/>
  </sheetPr>
  <dimension ref="A1:P44"/>
  <sheetViews>
    <sheetView topLeftCell="A22" workbookViewId="0">
      <selection activeCell="A8" sqref="A8:O8"/>
    </sheetView>
  </sheetViews>
  <sheetFormatPr defaultRowHeight="14.4" x14ac:dyDescent="0.3"/>
  <cols>
    <col min="1" max="1" width="5.109375" customWidth="1"/>
    <col min="2" max="2" width="9.77734375" customWidth="1"/>
    <col min="3" max="3" width="10.6640625" customWidth="1"/>
    <col min="5" max="5" width="7.33203125" customWidth="1"/>
    <col min="6" max="6" width="5.6640625" customWidth="1"/>
    <col min="13" max="13" width="10.77734375" customWidth="1"/>
    <col min="14" max="14" width="10.88671875" customWidth="1"/>
    <col min="15" max="15" width="12.88671875" customWidth="1"/>
  </cols>
  <sheetData>
    <row r="1" spans="1:16" ht="18" x14ac:dyDescent="0.35">
      <c r="A1" s="54" t="s">
        <v>46</v>
      </c>
      <c r="B1" s="54"/>
      <c r="C1" s="54"/>
      <c r="D1" s="54"/>
      <c r="E1" s="54"/>
      <c r="F1" s="54"/>
      <c r="G1" s="54"/>
      <c r="H1" s="54"/>
      <c r="I1" s="55"/>
      <c r="J1" s="55"/>
      <c r="K1" s="56"/>
      <c r="L1" s="176"/>
      <c r="M1" s="176"/>
      <c r="N1" s="176"/>
      <c r="O1" s="176"/>
      <c r="P1" s="57"/>
    </row>
    <row r="2" spans="1:16" x14ac:dyDescent="0.3">
      <c r="A2" s="58"/>
      <c r="B2" s="58"/>
      <c r="C2" s="58"/>
      <c r="D2" s="58"/>
      <c r="E2" s="58"/>
      <c r="F2" s="58"/>
      <c r="G2" s="58"/>
      <c r="H2" s="58"/>
      <c r="I2" s="56"/>
      <c r="J2" s="56"/>
      <c r="K2" s="56"/>
      <c r="L2" s="177" t="s">
        <v>132</v>
      </c>
      <c r="M2" s="177"/>
      <c r="N2" s="60"/>
      <c r="O2" s="59"/>
      <c r="P2" s="54"/>
    </row>
    <row r="3" spans="1:16" x14ac:dyDescent="0.3">
      <c r="A3" s="61"/>
      <c r="B3" s="61"/>
      <c r="C3" s="61"/>
      <c r="D3" s="61"/>
      <c r="E3" s="61"/>
      <c r="F3" s="61"/>
      <c r="G3" s="61"/>
      <c r="H3" s="61"/>
      <c r="I3" s="56"/>
      <c r="J3" s="56"/>
      <c r="K3" s="56"/>
      <c r="L3" s="178" t="s">
        <v>133</v>
      </c>
      <c r="M3" s="178"/>
      <c r="N3" s="178"/>
      <c r="O3" s="178"/>
      <c r="P3" s="54"/>
    </row>
    <row r="4" spans="1:16" x14ac:dyDescent="0.3">
      <c r="A4" s="61"/>
      <c r="B4" s="61"/>
      <c r="C4" s="61"/>
      <c r="D4" s="61"/>
      <c r="E4" s="61"/>
      <c r="F4" s="61"/>
      <c r="G4" s="61"/>
      <c r="H4" s="61"/>
      <c r="I4" s="56"/>
      <c r="J4" s="56"/>
      <c r="K4" s="56"/>
      <c r="L4" s="62"/>
      <c r="M4" s="178" t="s">
        <v>134</v>
      </c>
      <c r="N4" s="178"/>
      <c r="O4" s="63"/>
      <c r="P4" s="54"/>
    </row>
    <row r="5" spans="1:16" x14ac:dyDescent="0.3">
      <c r="A5" s="61"/>
      <c r="B5" s="61"/>
      <c r="C5" s="61"/>
      <c r="D5" s="61"/>
      <c r="E5" s="61"/>
      <c r="F5" s="61"/>
      <c r="G5" s="64"/>
      <c r="H5" s="64"/>
      <c r="I5" s="65"/>
      <c r="J5" s="65"/>
      <c r="K5" s="179"/>
      <c r="L5" s="179"/>
      <c r="M5" s="179"/>
      <c r="N5" s="179"/>
      <c r="O5" s="179"/>
      <c r="P5" s="54"/>
    </row>
    <row r="6" spans="1:16" x14ac:dyDescent="0.3">
      <c r="A6" s="61"/>
      <c r="B6" s="61"/>
      <c r="C6" s="61"/>
      <c r="D6" s="61"/>
      <c r="E6" s="61"/>
      <c r="F6" s="61"/>
      <c r="G6" s="61"/>
      <c r="H6" s="61"/>
      <c r="I6" s="175"/>
      <c r="J6" s="175"/>
      <c r="K6" s="175"/>
      <c r="L6" s="175"/>
      <c r="M6" s="175"/>
      <c r="N6" s="175"/>
      <c r="O6" s="175"/>
      <c r="P6" s="54"/>
    </row>
    <row r="7" spans="1:16" x14ac:dyDescent="0.3">
      <c r="A7" s="61" t="s">
        <v>0</v>
      </c>
      <c r="B7" s="61"/>
      <c r="C7" s="61"/>
      <c r="D7" s="66"/>
      <c r="E7" s="61"/>
      <c r="F7" s="61"/>
      <c r="G7" s="61"/>
      <c r="H7" s="61"/>
      <c r="I7" s="180"/>
      <c r="J7" s="180"/>
      <c r="K7" s="180"/>
      <c r="L7" s="180"/>
      <c r="M7" s="180"/>
      <c r="N7" s="180"/>
      <c r="O7" s="180"/>
      <c r="P7" s="54"/>
    </row>
    <row r="8" spans="1:16" ht="15.6" x14ac:dyDescent="0.3">
      <c r="A8" s="181" t="s">
        <v>1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67"/>
    </row>
    <row r="9" spans="1:16" x14ac:dyDescent="0.3">
      <c r="A9" s="182" t="s">
        <v>126</v>
      </c>
      <c r="B9" s="183"/>
      <c r="C9" s="183"/>
      <c r="D9" s="183"/>
      <c r="E9" s="183"/>
      <c r="F9" s="68" t="s">
        <v>103</v>
      </c>
      <c r="G9" s="69"/>
      <c r="H9" s="69" t="s">
        <v>127</v>
      </c>
      <c r="I9" s="69"/>
      <c r="J9" s="69"/>
      <c r="K9" s="69"/>
      <c r="L9" s="69"/>
      <c r="M9" s="54"/>
      <c r="N9" s="54"/>
      <c r="O9" s="184"/>
      <c r="P9" s="184"/>
    </row>
    <row r="10" spans="1:16" x14ac:dyDescent="0.3">
      <c r="A10" s="185" t="s">
        <v>2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54"/>
      <c r="N10" s="54"/>
      <c r="O10" s="184"/>
      <c r="P10" s="184"/>
    </row>
    <row r="11" spans="1:16" ht="86.4" x14ac:dyDescent="0.3">
      <c r="A11" s="70" t="s">
        <v>4</v>
      </c>
      <c r="B11" s="70" t="s">
        <v>47</v>
      </c>
      <c r="C11" s="70" t="s">
        <v>7</v>
      </c>
      <c r="D11" s="70" t="s">
        <v>8</v>
      </c>
      <c r="E11" s="70" t="s">
        <v>48</v>
      </c>
      <c r="F11" s="70" t="s">
        <v>49</v>
      </c>
      <c r="G11" s="70" t="s">
        <v>11</v>
      </c>
      <c r="H11" s="70" t="s">
        <v>12</v>
      </c>
      <c r="I11" s="70" t="s">
        <v>50</v>
      </c>
      <c r="J11" s="70" t="s">
        <v>129</v>
      </c>
      <c r="K11" s="70" t="s">
        <v>15</v>
      </c>
      <c r="L11" s="70" t="s">
        <v>51</v>
      </c>
      <c r="M11" s="70" t="s">
        <v>16</v>
      </c>
      <c r="N11" s="71" t="s">
        <v>52</v>
      </c>
      <c r="O11" s="70" t="s">
        <v>128</v>
      </c>
      <c r="P11" s="72"/>
    </row>
    <row r="12" spans="1:16" x14ac:dyDescent="0.3">
      <c r="A12" s="73">
        <v>1</v>
      </c>
      <c r="B12" s="74" t="s">
        <v>105</v>
      </c>
      <c r="C12" s="75" t="s">
        <v>53</v>
      </c>
      <c r="D12" s="76" t="s">
        <v>20</v>
      </c>
      <c r="E12" s="77">
        <v>1</v>
      </c>
      <c r="F12" s="77">
        <v>1</v>
      </c>
      <c r="G12" s="70">
        <v>12</v>
      </c>
      <c r="H12" s="78">
        <v>7356</v>
      </c>
      <c r="I12" s="79">
        <f>H12*50%</f>
        <v>3678</v>
      </c>
      <c r="J12" s="79"/>
      <c r="K12" s="79"/>
      <c r="L12" s="79">
        <f>H12*30%</f>
        <v>2206.7999999999997</v>
      </c>
      <c r="M12" s="78">
        <f>H12+I12+K12+L12</f>
        <v>13240.8</v>
      </c>
      <c r="N12" s="79">
        <f>H12</f>
        <v>7356</v>
      </c>
      <c r="O12" s="80">
        <f t="shared" ref="O12:O17" si="0">M12*12+N12</f>
        <v>166245.59999999998</v>
      </c>
      <c r="P12" s="81"/>
    </row>
    <row r="13" spans="1:16" x14ac:dyDescent="0.3">
      <c r="A13" s="73">
        <v>2</v>
      </c>
      <c r="B13" s="74" t="s">
        <v>105</v>
      </c>
      <c r="C13" s="82" t="s">
        <v>54</v>
      </c>
      <c r="D13" s="76" t="s">
        <v>55</v>
      </c>
      <c r="E13" s="77">
        <v>1</v>
      </c>
      <c r="F13" s="77">
        <v>1</v>
      </c>
      <c r="G13" s="70">
        <v>11</v>
      </c>
      <c r="H13" s="78">
        <v>6836</v>
      </c>
      <c r="I13" s="79">
        <f t="shared" ref="I13:I34" si="1">H13*50%</f>
        <v>3418</v>
      </c>
      <c r="J13" s="79"/>
      <c r="K13" s="79"/>
      <c r="L13" s="79">
        <f>H13*30%</f>
        <v>2050.7999999999997</v>
      </c>
      <c r="M13" s="78">
        <f t="shared" ref="M13:M34" si="2">H13+I13+K13+L13</f>
        <v>12304.8</v>
      </c>
      <c r="N13" s="79">
        <f t="shared" ref="N13:N34" si="3">H13</f>
        <v>6836</v>
      </c>
      <c r="O13" s="79">
        <f t="shared" si="0"/>
        <v>154493.59999999998</v>
      </c>
      <c r="P13" s="81"/>
    </row>
    <row r="14" spans="1:16" x14ac:dyDescent="0.3">
      <c r="A14" s="73">
        <v>4</v>
      </c>
      <c r="B14" s="74" t="s">
        <v>105</v>
      </c>
      <c r="C14" s="82" t="s">
        <v>54</v>
      </c>
      <c r="D14" s="76" t="s">
        <v>55</v>
      </c>
      <c r="E14" s="77">
        <v>1</v>
      </c>
      <c r="F14" s="77">
        <v>1</v>
      </c>
      <c r="G14" s="70">
        <v>11</v>
      </c>
      <c r="H14" s="78">
        <v>6836</v>
      </c>
      <c r="I14" s="79">
        <f t="shared" si="1"/>
        <v>3418</v>
      </c>
      <c r="J14" s="79"/>
      <c r="K14" s="79"/>
      <c r="L14" s="79">
        <f>SUM(H14*30%)</f>
        <v>2050.7999999999997</v>
      </c>
      <c r="M14" s="78">
        <f t="shared" si="2"/>
        <v>12304.8</v>
      </c>
      <c r="N14" s="79">
        <f t="shared" si="3"/>
        <v>6836</v>
      </c>
      <c r="O14" s="79">
        <f t="shared" si="0"/>
        <v>154493.59999999998</v>
      </c>
      <c r="P14" s="81"/>
    </row>
    <row r="15" spans="1:16" x14ac:dyDescent="0.3">
      <c r="A15" s="73">
        <v>5</v>
      </c>
      <c r="B15" s="74" t="s">
        <v>105</v>
      </c>
      <c r="C15" s="82" t="s">
        <v>56</v>
      </c>
      <c r="D15" s="76">
        <v>9132</v>
      </c>
      <c r="E15" s="77">
        <v>0.5</v>
      </c>
      <c r="F15" s="77">
        <v>0.5</v>
      </c>
      <c r="G15" s="70">
        <v>1</v>
      </c>
      <c r="H15" s="78">
        <v>1735</v>
      </c>
      <c r="I15" s="79"/>
      <c r="J15" s="79">
        <f>SUM(H15*10%)</f>
        <v>173.5</v>
      </c>
      <c r="K15" s="79">
        <v>2588.5</v>
      </c>
      <c r="L15" s="79"/>
      <c r="M15" s="78">
        <f>H15+I15+K15+L15+J15</f>
        <v>4497</v>
      </c>
      <c r="N15" s="79">
        <f>H15</f>
        <v>1735</v>
      </c>
      <c r="O15" s="79">
        <f t="shared" si="0"/>
        <v>55699</v>
      </c>
      <c r="P15" s="81"/>
    </row>
    <row r="16" spans="1:16" x14ac:dyDescent="0.3">
      <c r="A16" s="73">
        <v>6</v>
      </c>
      <c r="B16" s="74" t="s">
        <v>105</v>
      </c>
      <c r="C16" s="82" t="s">
        <v>53</v>
      </c>
      <c r="D16" s="76" t="s">
        <v>20</v>
      </c>
      <c r="E16" s="77">
        <v>1</v>
      </c>
      <c r="F16" s="77">
        <v>1</v>
      </c>
      <c r="G16" s="70">
        <v>12</v>
      </c>
      <c r="H16" s="78">
        <v>7356</v>
      </c>
      <c r="I16" s="79">
        <f t="shared" si="1"/>
        <v>3678</v>
      </c>
      <c r="J16" s="79"/>
      <c r="K16" s="79"/>
      <c r="L16" s="79">
        <f>SUM(H16*20%)</f>
        <v>1471.2</v>
      </c>
      <c r="M16" s="78">
        <f t="shared" si="2"/>
        <v>12505.2</v>
      </c>
      <c r="N16" s="79">
        <f t="shared" si="3"/>
        <v>7356</v>
      </c>
      <c r="O16" s="79">
        <f t="shared" si="0"/>
        <v>157418.40000000002</v>
      </c>
      <c r="P16" s="81"/>
    </row>
    <row r="17" spans="1:16" x14ac:dyDescent="0.3">
      <c r="A17" s="73">
        <v>7</v>
      </c>
      <c r="B17" s="74" t="s">
        <v>105</v>
      </c>
      <c r="C17" s="75" t="s">
        <v>54</v>
      </c>
      <c r="D17" s="76" t="s">
        <v>55</v>
      </c>
      <c r="E17" s="77">
        <v>1</v>
      </c>
      <c r="F17" s="77">
        <v>1</v>
      </c>
      <c r="G17" s="70">
        <v>11</v>
      </c>
      <c r="H17" s="78">
        <v>6836</v>
      </c>
      <c r="I17" s="79">
        <f t="shared" si="1"/>
        <v>3418</v>
      </c>
      <c r="J17" s="79"/>
      <c r="K17" s="79"/>
      <c r="L17" s="79">
        <f>H17*30%</f>
        <v>2050.7999999999997</v>
      </c>
      <c r="M17" s="78">
        <f t="shared" si="2"/>
        <v>12304.8</v>
      </c>
      <c r="N17" s="79">
        <f t="shared" si="3"/>
        <v>6836</v>
      </c>
      <c r="O17" s="79">
        <f t="shared" si="0"/>
        <v>154493.59999999998</v>
      </c>
      <c r="P17" s="81"/>
    </row>
    <row r="18" spans="1:16" x14ac:dyDescent="0.3">
      <c r="A18" s="73">
        <v>8</v>
      </c>
      <c r="B18" s="74" t="s">
        <v>106</v>
      </c>
      <c r="C18" s="75" t="s">
        <v>57</v>
      </c>
      <c r="D18" s="76" t="s">
        <v>55</v>
      </c>
      <c r="E18" s="77">
        <v>1</v>
      </c>
      <c r="F18" s="77">
        <v>0.25</v>
      </c>
      <c r="G18" s="70">
        <v>8</v>
      </c>
      <c r="H18" s="78">
        <v>5691</v>
      </c>
      <c r="I18" s="79">
        <f t="shared" si="1"/>
        <v>2845.5</v>
      </c>
      <c r="J18" s="79"/>
      <c r="K18" s="79">
        <v>110.5</v>
      </c>
      <c r="L18" s="79"/>
      <c r="M18" s="78">
        <f>H18+I18+K18+L18</f>
        <v>8647</v>
      </c>
      <c r="N18" s="79">
        <f>H18</f>
        <v>5691</v>
      </c>
      <c r="O18" s="79">
        <f t="shared" ref="O18:O24" si="4">M18*12+N18</f>
        <v>109455</v>
      </c>
      <c r="P18" s="81"/>
    </row>
    <row r="19" spans="1:16" x14ac:dyDescent="0.3">
      <c r="A19" s="73">
        <v>9</v>
      </c>
      <c r="B19" s="74" t="s">
        <v>107</v>
      </c>
      <c r="C19" s="82" t="s">
        <v>57</v>
      </c>
      <c r="D19" s="76" t="s">
        <v>55</v>
      </c>
      <c r="E19" s="83">
        <v>0.5</v>
      </c>
      <c r="F19" s="77">
        <v>0.25</v>
      </c>
      <c r="G19" s="70">
        <v>9</v>
      </c>
      <c r="H19" s="78">
        <v>3001.5</v>
      </c>
      <c r="I19" s="79">
        <f t="shared" si="1"/>
        <v>1500.75</v>
      </c>
      <c r="J19" s="79"/>
      <c r="K19" s="79"/>
      <c r="L19" s="79"/>
      <c r="M19" s="78">
        <f t="shared" si="2"/>
        <v>4502.25</v>
      </c>
      <c r="N19" s="79">
        <f t="shared" si="3"/>
        <v>3001.5</v>
      </c>
      <c r="O19" s="79">
        <f t="shared" si="4"/>
        <v>57028.5</v>
      </c>
      <c r="P19" s="81"/>
    </row>
    <row r="20" spans="1:16" x14ac:dyDescent="0.3">
      <c r="A20" s="73">
        <v>10</v>
      </c>
      <c r="B20" s="74" t="s">
        <v>108</v>
      </c>
      <c r="C20" s="82" t="s">
        <v>57</v>
      </c>
      <c r="D20" s="76" t="s">
        <v>55</v>
      </c>
      <c r="E20" s="77">
        <v>0.5</v>
      </c>
      <c r="F20" s="77"/>
      <c r="G20" s="70">
        <v>9</v>
      </c>
      <c r="H20" s="78">
        <v>3001.5</v>
      </c>
      <c r="I20" s="79">
        <f t="shared" si="1"/>
        <v>1500.75</v>
      </c>
      <c r="J20" s="79"/>
      <c r="K20" s="79"/>
      <c r="L20" s="79"/>
      <c r="M20" s="78">
        <f t="shared" si="2"/>
        <v>4502.25</v>
      </c>
      <c r="N20" s="79">
        <f t="shared" si="3"/>
        <v>3001.5</v>
      </c>
      <c r="O20" s="79">
        <f t="shared" si="4"/>
        <v>57028.5</v>
      </c>
      <c r="P20" s="81"/>
    </row>
    <row r="21" spans="1:16" x14ac:dyDescent="0.3">
      <c r="A21" s="73">
        <v>11</v>
      </c>
      <c r="B21" s="74" t="s">
        <v>109</v>
      </c>
      <c r="C21" s="82" t="s">
        <v>57</v>
      </c>
      <c r="D21" s="76" t="s">
        <v>55</v>
      </c>
      <c r="E21" s="77">
        <v>1</v>
      </c>
      <c r="F21" s="77">
        <v>0</v>
      </c>
      <c r="G21" s="70">
        <v>9</v>
      </c>
      <c r="H21" s="78">
        <v>6003</v>
      </c>
      <c r="I21" s="79">
        <f t="shared" si="1"/>
        <v>3001.5</v>
      </c>
      <c r="J21" s="79"/>
      <c r="K21" s="79"/>
      <c r="L21" s="79"/>
      <c r="M21" s="78">
        <f t="shared" si="2"/>
        <v>9004.5</v>
      </c>
      <c r="N21" s="79">
        <f t="shared" si="3"/>
        <v>6003</v>
      </c>
      <c r="O21" s="79">
        <f t="shared" si="4"/>
        <v>114057</v>
      </c>
      <c r="P21" s="81"/>
    </row>
    <row r="22" spans="1:16" x14ac:dyDescent="0.3">
      <c r="A22" s="73">
        <v>12</v>
      </c>
      <c r="B22" s="74" t="s">
        <v>110</v>
      </c>
      <c r="C22" s="75" t="s">
        <v>54</v>
      </c>
      <c r="D22" s="76" t="s">
        <v>55</v>
      </c>
      <c r="E22" s="77">
        <v>1</v>
      </c>
      <c r="F22" s="77">
        <v>1</v>
      </c>
      <c r="G22" s="70">
        <v>11</v>
      </c>
      <c r="H22" s="78">
        <v>6836</v>
      </c>
      <c r="I22" s="79">
        <f t="shared" si="1"/>
        <v>3418</v>
      </c>
      <c r="J22" s="79"/>
      <c r="K22" s="79"/>
      <c r="L22" s="79">
        <f>H22*10%</f>
        <v>683.6</v>
      </c>
      <c r="M22" s="78">
        <f t="shared" si="2"/>
        <v>10937.6</v>
      </c>
      <c r="N22" s="79">
        <f t="shared" si="3"/>
        <v>6836</v>
      </c>
      <c r="O22" s="79">
        <f t="shared" si="4"/>
        <v>138087.20000000001</v>
      </c>
      <c r="P22" s="81"/>
    </row>
    <row r="23" spans="1:16" x14ac:dyDescent="0.3">
      <c r="A23" s="73">
        <v>13</v>
      </c>
      <c r="B23" s="74" t="s">
        <v>111</v>
      </c>
      <c r="C23" s="82" t="s">
        <v>53</v>
      </c>
      <c r="D23" s="76" t="s">
        <v>20</v>
      </c>
      <c r="E23" s="77">
        <v>1</v>
      </c>
      <c r="F23" s="77">
        <v>1</v>
      </c>
      <c r="G23" s="70">
        <v>12</v>
      </c>
      <c r="H23" s="78">
        <v>7356</v>
      </c>
      <c r="I23" s="79">
        <f t="shared" si="1"/>
        <v>3678</v>
      </c>
      <c r="J23" s="79"/>
      <c r="K23" s="79"/>
      <c r="L23" s="79">
        <f>H23*30%</f>
        <v>2206.7999999999997</v>
      </c>
      <c r="M23" s="78">
        <f t="shared" si="2"/>
        <v>13240.8</v>
      </c>
      <c r="N23" s="79">
        <f t="shared" si="3"/>
        <v>7356</v>
      </c>
      <c r="O23" s="79">
        <f t="shared" si="4"/>
        <v>166245.59999999998</v>
      </c>
      <c r="P23" s="81"/>
    </row>
    <row r="24" spans="1:16" x14ac:dyDescent="0.3">
      <c r="A24" s="73">
        <v>14</v>
      </c>
      <c r="B24" s="74" t="s">
        <v>112</v>
      </c>
      <c r="C24" s="75" t="s">
        <v>54</v>
      </c>
      <c r="D24" s="76" t="s">
        <v>55</v>
      </c>
      <c r="E24" s="77">
        <v>1</v>
      </c>
      <c r="F24" s="77">
        <v>1</v>
      </c>
      <c r="G24" s="70">
        <v>10</v>
      </c>
      <c r="H24" s="78">
        <v>6315</v>
      </c>
      <c r="I24" s="79">
        <f t="shared" si="1"/>
        <v>3157.5</v>
      </c>
      <c r="J24" s="79"/>
      <c r="K24" s="79"/>
      <c r="L24" s="79">
        <f>H24*10%</f>
        <v>631.5</v>
      </c>
      <c r="M24" s="78">
        <f t="shared" si="2"/>
        <v>10104</v>
      </c>
      <c r="N24" s="79">
        <f t="shared" si="3"/>
        <v>6315</v>
      </c>
      <c r="O24" s="79">
        <f t="shared" si="4"/>
        <v>127563</v>
      </c>
      <c r="P24" s="81"/>
    </row>
    <row r="25" spans="1:16" x14ac:dyDescent="0.3">
      <c r="A25" s="73">
        <v>15</v>
      </c>
      <c r="B25" s="74" t="s">
        <v>113</v>
      </c>
      <c r="C25" s="75" t="s">
        <v>57</v>
      </c>
      <c r="D25" s="76" t="s">
        <v>55</v>
      </c>
      <c r="E25" s="77">
        <v>0.5</v>
      </c>
      <c r="F25" s="77">
        <v>0.5</v>
      </c>
      <c r="G25" s="70">
        <v>9</v>
      </c>
      <c r="H25" s="78">
        <f>5527*E25</f>
        <v>2763.5</v>
      </c>
      <c r="I25" s="79">
        <f t="shared" si="1"/>
        <v>1381.75</v>
      </c>
      <c r="J25" s="79"/>
      <c r="K25" s="79"/>
      <c r="L25" s="79"/>
      <c r="M25" s="78">
        <f t="shared" si="2"/>
        <v>4145.25</v>
      </c>
      <c r="N25" s="79">
        <f t="shared" si="3"/>
        <v>2763.5</v>
      </c>
      <c r="O25" s="79">
        <f t="shared" ref="O25" si="5">M25*8+N25</f>
        <v>35925.5</v>
      </c>
      <c r="P25" s="81"/>
    </row>
    <row r="26" spans="1:16" x14ac:dyDescent="0.3">
      <c r="A26" s="73">
        <v>16</v>
      </c>
      <c r="B26" s="74" t="s">
        <v>114</v>
      </c>
      <c r="C26" s="75" t="s">
        <v>54</v>
      </c>
      <c r="D26" s="76" t="s">
        <v>55</v>
      </c>
      <c r="E26" s="77">
        <v>0.75</v>
      </c>
      <c r="F26" s="77">
        <v>0.75</v>
      </c>
      <c r="G26" s="70">
        <v>9</v>
      </c>
      <c r="H26" s="78">
        <v>4502.25</v>
      </c>
      <c r="I26" s="79">
        <f t="shared" si="1"/>
        <v>2251.125</v>
      </c>
      <c r="J26" s="79"/>
      <c r="K26" s="79"/>
      <c r="L26" s="79">
        <f>H26*30%</f>
        <v>1350.675</v>
      </c>
      <c r="M26" s="78">
        <f>H26+I26+K26+L26</f>
        <v>8104.05</v>
      </c>
      <c r="N26" s="79">
        <f t="shared" si="3"/>
        <v>4502.25</v>
      </c>
      <c r="O26" s="79">
        <f t="shared" ref="O26:O34" si="6">M26*12+N26</f>
        <v>101750.85</v>
      </c>
      <c r="P26" s="81"/>
    </row>
    <row r="27" spans="1:16" x14ac:dyDescent="0.3">
      <c r="A27" s="73">
        <v>17</v>
      </c>
      <c r="B27" s="74" t="s">
        <v>115</v>
      </c>
      <c r="C27" s="75" t="s">
        <v>57</v>
      </c>
      <c r="D27" s="76" t="s">
        <v>61</v>
      </c>
      <c r="E27" s="77">
        <v>0.5</v>
      </c>
      <c r="F27" s="77">
        <v>0.5</v>
      </c>
      <c r="G27" s="70">
        <v>9</v>
      </c>
      <c r="H27" s="78">
        <v>3001.5</v>
      </c>
      <c r="I27" s="79">
        <f>SUM(H27*50%)</f>
        <v>1500.75</v>
      </c>
      <c r="J27" s="79"/>
      <c r="K27" s="79"/>
      <c r="L27" s="79"/>
      <c r="M27" s="78">
        <f>H27+I27+K27+L27</f>
        <v>4502.25</v>
      </c>
      <c r="N27" s="79">
        <f>H27</f>
        <v>3001.5</v>
      </c>
      <c r="O27" s="79">
        <f t="shared" si="6"/>
        <v>57028.5</v>
      </c>
      <c r="P27" s="81"/>
    </row>
    <row r="28" spans="1:16" x14ac:dyDescent="0.3">
      <c r="A28" s="73">
        <v>18</v>
      </c>
      <c r="B28" s="74" t="s">
        <v>116</v>
      </c>
      <c r="C28" s="75" t="s">
        <v>57</v>
      </c>
      <c r="D28" s="76" t="s">
        <v>55</v>
      </c>
      <c r="E28" s="77">
        <v>0.5</v>
      </c>
      <c r="F28" s="77">
        <v>0.5</v>
      </c>
      <c r="G28" s="70">
        <v>9</v>
      </c>
      <c r="H28" s="78">
        <v>3001.5</v>
      </c>
      <c r="I28" s="79">
        <f>H28*50%</f>
        <v>1500.75</v>
      </c>
      <c r="J28" s="79"/>
      <c r="K28" s="79"/>
      <c r="L28" s="79">
        <f>H28*30%</f>
        <v>900.44999999999993</v>
      </c>
      <c r="M28" s="78">
        <f>H28+I28+K28+L28</f>
        <v>5402.7</v>
      </c>
      <c r="N28" s="79">
        <f>H28</f>
        <v>3001.5</v>
      </c>
      <c r="O28" s="79">
        <f t="shared" si="6"/>
        <v>67833.899999999994</v>
      </c>
      <c r="P28" s="81"/>
    </row>
    <row r="29" spans="1:16" x14ac:dyDescent="0.3">
      <c r="A29" s="73">
        <v>19</v>
      </c>
      <c r="B29" s="84" t="s">
        <v>117</v>
      </c>
      <c r="C29" s="75" t="s">
        <v>57</v>
      </c>
      <c r="D29" s="76" t="s">
        <v>55</v>
      </c>
      <c r="E29" s="77">
        <v>0.5</v>
      </c>
      <c r="F29" s="77"/>
      <c r="G29" s="70">
        <v>9</v>
      </c>
      <c r="H29" s="78">
        <v>3001.5</v>
      </c>
      <c r="I29" s="79">
        <f t="shared" si="1"/>
        <v>1500.75</v>
      </c>
      <c r="J29" s="79"/>
      <c r="K29" s="79"/>
      <c r="L29" s="79"/>
      <c r="M29" s="78">
        <f t="shared" si="2"/>
        <v>4502.25</v>
      </c>
      <c r="N29" s="79">
        <f t="shared" si="3"/>
        <v>3001.5</v>
      </c>
      <c r="O29" s="79">
        <f t="shared" si="6"/>
        <v>57028.5</v>
      </c>
      <c r="P29" s="81"/>
    </row>
    <row r="30" spans="1:16" x14ac:dyDescent="0.3">
      <c r="A30" s="73">
        <v>20</v>
      </c>
      <c r="B30" s="85" t="s">
        <v>118</v>
      </c>
      <c r="C30" s="75" t="s">
        <v>57</v>
      </c>
      <c r="D30" s="76" t="s">
        <v>55</v>
      </c>
      <c r="E30" s="77">
        <v>0.5</v>
      </c>
      <c r="F30" s="77">
        <v>0.25</v>
      </c>
      <c r="G30" s="70">
        <v>9</v>
      </c>
      <c r="H30" s="78">
        <v>3001.5</v>
      </c>
      <c r="I30" s="79">
        <f>H30*50%</f>
        <v>1500.75</v>
      </c>
      <c r="J30" s="79"/>
      <c r="K30" s="79"/>
      <c r="L30" s="79"/>
      <c r="M30" s="78">
        <f>H30+I30+K30+L30</f>
        <v>4502.25</v>
      </c>
      <c r="N30" s="79">
        <f>H30</f>
        <v>3001.5</v>
      </c>
      <c r="O30" s="79">
        <f t="shared" si="6"/>
        <v>57028.5</v>
      </c>
      <c r="P30" s="81"/>
    </row>
    <row r="31" spans="1:16" x14ac:dyDescent="0.3">
      <c r="A31" s="73">
        <v>21</v>
      </c>
      <c r="B31" s="74" t="s">
        <v>119</v>
      </c>
      <c r="C31" s="75" t="s">
        <v>57</v>
      </c>
      <c r="D31" s="76" t="s">
        <v>55</v>
      </c>
      <c r="E31" s="77">
        <v>0.5</v>
      </c>
      <c r="F31" s="77">
        <v>0.5</v>
      </c>
      <c r="G31" s="70">
        <v>9</v>
      </c>
      <c r="H31" s="78">
        <v>3001.5</v>
      </c>
      <c r="I31" s="79">
        <f t="shared" si="1"/>
        <v>1500.75</v>
      </c>
      <c r="J31" s="79"/>
      <c r="K31" s="79"/>
      <c r="L31" s="79"/>
      <c r="M31" s="78">
        <f t="shared" si="2"/>
        <v>4502.25</v>
      </c>
      <c r="N31" s="79">
        <f t="shared" si="3"/>
        <v>3001.5</v>
      </c>
      <c r="O31" s="79">
        <f t="shared" si="6"/>
        <v>57028.5</v>
      </c>
      <c r="P31" s="81"/>
    </row>
    <row r="32" spans="1:16" x14ac:dyDescent="0.3">
      <c r="A32" s="73">
        <v>22</v>
      </c>
      <c r="B32" s="74" t="s">
        <v>120</v>
      </c>
      <c r="C32" s="75" t="s">
        <v>57</v>
      </c>
      <c r="D32" s="76" t="s">
        <v>55</v>
      </c>
      <c r="E32" s="77">
        <v>0.5</v>
      </c>
      <c r="F32" s="77">
        <v>0</v>
      </c>
      <c r="G32" s="70">
        <v>9</v>
      </c>
      <c r="H32" s="78">
        <v>3001.5</v>
      </c>
      <c r="I32" s="79">
        <f t="shared" si="1"/>
        <v>1500.75</v>
      </c>
      <c r="J32" s="79"/>
      <c r="K32" s="79"/>
      <c r="L32" s="79"/>
      <c r="M32" s="78">
        <f t="shared" si="2"/>
        <v>4502.25</v>
      </c>
      <c r="N32" s="79">
        <f t="shared" si="3"/>
        <v>3001.5</v>
      </c>
      <c r="O32" s="79">
        <f t="shared" si="6"/>
        <v>57028.5</v>
      </c>
      <c r="P32" s="81"/>
    </row>
    <row r="33" spans="1:16" x14ac:dyDescent="0.3">
      <c r="A33" s="73">
        <v>23</v>
      </c>
      <c r="B33" s="74" t="s">
        <v>121</v>
      </c>
      <c r="C33" s="75" t="s">
        <v>57</v>
      </c>
      <c r="D33" s="76" t="s">
        <v>55</v>
      </c>
      <c r="E33" s="77">
        <v>0.5</v>
      </c>
      <c r="F33" s="77">
        <v>0.5</v>
      </c>
      <c r="G33" s="70">
        <v>9</v>
      </c>
      <c r="H33" s="78">
        <v>3001.5</v>
      </c>
      <c r="I33" s="79">
        <f t="shared" si="1"/>
        <v>1500.75</v>
      </c>
      <c r="J33" s="79"/>
      <c r="K33" s="79"/>
      <c r="L33" s="79">
        <f>H33*20%</f>
        <v>600.30000000000007</v>
      </c>
      <c r="M33" s="78">
        <f t="shared" si="2"/>
        <v>5102.55</v>
      </c>
      <c r="N33" s="79">
        <f t="shared" si="3"/>
        <v>3001.5</v>
      </c>
      <c r="O33" s="79">
        <f t="shared" si="6"/>
        <v>64232.100000000006</v>
      </c>
      <c r="P33" s="81"/>
    </row>
    <row r="34" spans="1:16" x14ac:dyDescent="0.3">
      <c r="A34" s="73">
        <v>24</v>
      </c>
      <c r="B34" s="74" t="s">
        <v>122</v>
      </c>
      <c r="C34" s="75" t="s">
        <v>57</v>
      </c>
      <c r="D34" s="76" t="s">
        <v>55</v>
      </c>
      <c r="E34" s="77">
        <v>0.5</v>
      </c>
      <c r="F34" s="77">
        <v>0.25</v>
      </c>
      <c r="G34" s="70">
        <v>8</v>
      </c>
      <c r="H34" s="78">
        <v>2845.5</v>
      </c>
      <c r="I34" s="79">
        <f t="shared" si="1"/>
        <v>1422.75</v>
      </c>
      <c r="J34" s="79"/>
      <c r="K34" s="79">
        <v>55.25</v>
      </c>
      <c r="L34" s="79"/>
      <c r="M34" s="78">
        <f t="shared" si="2"/>
        <v>4323.5</v>
      </c>
      <c r="N34" s="79">
        <f t="shared" si="3"/>
        <v>2845.5</v>
      </c>
      <c r="O34" s="79">
        <f t="shared" si="6"/>
        <v>54727.5</v>
      </c>
      <c r="P34" s="81"/>
    </row>
    <row r="35" spans="1:16" x14ac:dyDescent="0.3">
      <c r="A35" s="86"/>
      <c r="B35" s="86"/>
      <c r="C35" s="86" t="s">
        <v>21</v>
      </c>
      <c r="D35" s="87"/>
      <c r="E35" s="87">
        <f>SUM(E12:E34)</f>
        <v>16.75</v>
      </c>
      <c r="F35" s="87">
        <f>SUM(F12:F34)</f>
        <v>12.75</v>
      </c>
      <c r="G35" s="88"/>
      <c r="H35" s="89">
        <f>SUM(H12:H34)</f>
        <v>106280.75</v>
      </c>
      <c r="I35" s="89">
        <f>SUM(I12:I34)</f>
        <v>52272.875</v>
      </c>
      <c r="J35" s="89">
        <f>SUM(J13:J34)</f>
        <v>173.5</v>
      </c>
      <c r="K35" s="89">
        <f>SUM(K12:K34)</f>
        <v>2754.25</v>
      </c>
      <c r="L35" s="89">
        <f>SUM(L12:L34)</f>
        <v>16203.724999999999</v>
      </c>
      <c r="M35" s="90">
        <f>SUM(M12:M34)</f>
        <v>177685.09999999998</v>
      </c>
      <c r="N35" s="89">
        <f>SUM(N12:N34)</f>
        <v>106280.75</v>
      </c>
      <c r="O35" s="89">
        <f>SUM(O12:O34)</f>
        <v>2221920.9499999997</v>
      </c>
      <c r="P35" s="81"/>
    </row>
    <row r="36" spans="1:16" x14ac:dyDescent="0.3">
      <c r="A36" s="91"/>
      <c r="B36" s="91"/>
      <c r="C36" s="92"/>
      <c r="D36" s="92"/>
      <c r="E36" s="93"/>
      <c r="F36" s="93"/>
      <c r="G36" s="91"/>
      <c r="H36" s="94"/>
      <c r="I36" s="91"/>
      <c r="J36" s="91"/>
      <c r="K36" s="91"/>
      <c r="L36" s="91"/>
      <c r="M36" s="91"/>
      <c r="N36" s="91"/>
      <c r="O36" s="95"/>
      <c r="P36" s="96"/>
    </row>
    <row r="37" spans="1:16" x14ac:dyDescent="0.3">
      <c r="A37" s="186"/>
      <c r="B37" s="186"/>
      <c r="C37" s="186"/>
      <c r="D37" s="186"/>
      <c r="E37" s="186"/>
      <c r="F37" s="186"/>
      <c r="G37" s="186"/>
      <c r="H37" s="186"/>
      <c r="I37" s="95"/>
      <c r="J37" s="95"/>
      <c r="K37" s="187"/>
      <c r="L37" s="187"/>
      <c r="M37" s="187"/>
      <c r="N37" s="187"/>
      <c r="O37" s="187"/>
      <c r="P37" s="98"/>
    </row>
    <row r="38" spans="1:16" x14ac:dyDescent="0.3">
      <c r="A38" s="97" t="s">
        <v>22</v>
      </c>
      <c r="B38" s="97"/>
      <c r="C38" s="97"/>
      <c r="D38" s="97"/>
      <c r="E38" s="99"/>
      <c r="F38" s="99"/>
      <c r="G38" s="97"/>
      <c r="H38" s="97"/>
      <c r="I38" s="95"/>
      <c r="J38" s="95"/>
      <c r="K38" s="187"/>
      <c r="L38" s="187"/>
      <c r="M38" s="187"/>
      <c r="N38" s="187"/>
      <c r="O38" s="187"/>
      <c r="P38" s="54"/>
    </row>
    <row r="39" spans="1:16" x14ac:dyDescent="0.3">
      <c r="A39" s="97"/>
      <c r="B39" s="97"/>
      <c r="C39" s="97"/>
      <c r="D39" s="97"/>
      <c r="E39" s="99"/>
      <c r="F39" s="99"/>
      <c r="G39" s="97"/>
      <c r="H39" s="100"/>
      <c r="I39" s="99"/>
      <c r="J39" s="99"/>
      <c r="K39" s="95"/>
      <c r="L39" s="95"/>
      <c r="M39" s="95" t="s">
        <v>137</v>
      </c>
      <c r="N39" s="95"/>
      <c r="O39" s="95"/>
      <c r="P39" s="54"/>
    </row>
    <row r="40" spans="1:16" x14ac:dyDescent="0.3">
      <c r="A40" s="187" t="s">
        <v>135</v>
      </c>
      <c r="B40" s="187"/>
      <c r="C40" s="187"/>
      <c r="D40" s="187"/>
      <c r="E40" s="187"/>
      <c r="F40" s="187"/>
      <c r="G40" s="187"/>
      <c r="H40" s="95"/>
      <c r="I40" s="95"/>
      <c r="J40" s="95"/>
      <c r="K40" s="187"/>
      <c r="L40" s="187"/>
      <c r="M40" s="187"/>
      <c r="N40" s="187"/>
      <c r="O40" s="187"/>
      <c r="P40" s="54"/>
    </row>
    <row r="41" spans="1:16" x14ac:dyDescent="0.3">
      <c r="A41" s="97" t="s">
        <v>22</v>
      </c>
      <c r="B41" s="97"/>
      <c r="C41" s="97"/>
      <c r="D41" s="97"/>
      <c r="E41" s="99"/>
      <c r="F41" s="99"/>
      <c r="G41" s="97"/>
      <c r="H41" s="97"/>
      <c r="I41" s="95"/>
      <c r="J41" s="95"/>
      <c r="K41" s="187"/>
      <c r="L41" s="187"/>
      <c r="M41" s="187"/>
      <c r="N41" s="187"/>
      <c r="O41" s="187"/>
      <c r="P41" s="54"/>
    </row>
    <row r="42" spans="1:16" x14ac:dyDescent="0.3">
      <c r="A42" s="186" t="s">
        <v>23</v>
      </c>
      <c r="B42" s="186"/>
      <c r="C42" s="186"/>
      <c r="D42" s="186"/>
      <c r="E42" s="186"/>
      <c r="F42" s="186"/>
      <c r="G42" s="186"/>
      <c r="H42" s="186"/>
      <c r="I42" s="95"/>
      <c r="J42" s="95"/>
      <c r="K42" s="95"/>
      <c r="L42" s="95"/>
      <c r="M42" s="95"/>
      <c r="N42" s="95"/>
      <c r="O42" s="95"/>
      <c r="P42" s="54"/>
    </row>
    <row r="43" spans="1:16" x14ac:dyDescent="0.3">
      <c r="A43" s="186" t="s">
        <v>24</v>
      </c>
      <c r="B43" s="186"/>
      <c r="C43" s="186"/>
      <c r="D43" s="186"/>
      <c r="E43" s="186"/>
      <c r="F43" s="186"/>
      <c r="G43" s="186"/>
      <c r="H43" s="186"/>
      <c r="I43" s="95"/>
      <c r="J43" s="95"/>
      <c r="K43" s="95"/>
      <c r="L43" s="95"/>
      <c r="M43" s="95"/>
      <c r="N43" s="95"/>
      <c r="O43" s="95"/>
      <c r="P43" s="54"/>
    </row>
    <row r="44" spans="1:16" x14ac:dyDescent="0.3">
      <c r="A44" s="54"/>
      <c r="B44" s="54"/>
      <c r="C44" s="54"/>
      <c r="D44" s="54"/>
      <c r="E44" s="101"/>
      <c r="F44" s="101"/>
      <c r="G44" s="54"/>
      <c r="H44" s="54"/>
      <c r="I44" s="54"/>
      <c r="J44" s="54"/>
      <c r="K44" s="54"/>
      <c r="L44" s="54"/>
      <c r="M44" s="54"/>
      <c r="N44" s="54"/>
      <c r="O44" s="54"/>
      <c r="P44" s="54"/>
    </row>
  </sheetData>
  <mergeCells count="20">
    <mergeCell ref="A42:H42"/>
    <mergeCell ref="A43:H43"/>
    <mergeCell ref="A37:H37"/>
    <mergeCell ref="K37:O37"/>
    <mergeCell ref="K38:O38"/>
    <mergeCell ref="A40:G40"/>
    <mergeCell ref="K40:O40"/>
    <mergeCell ref="K41:O41"/>
    <mergeCell ref="I7:O7"/>
    <mergeCell ref="A8:O8"/>
    <mergeCell ref="A9:E9"/>
    <mergeCell ref="O9:P9"/>
    <mergeCell ref="A10:L10"/>
    <mergeCell ref="O10:P10"/>
    <mergeCell ref="I6:O6"/>
    <mergeCell ref="L1:O1"/>
    <mergeCell ref="L2:M2"/>
    <mergeCell ref="L3:O3"/>
    <mergeCell ref="M4:N4"/>
    <mergeCell ref="K5:O5"/>
  </mergeCells>
  <pageMargins left="0.7" right="0.7" top="0.75" bottom="0.75" header="0.3" footer="0.3"/>
  <pageSetup paperSize="9" scale="9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ED26-51F2-4B88-96AB-76D61BB8DC1A}">
  <sheetPr>
    <pageSetUpPr fitToPage="1"/>
  </sheetPr>
  <dimension ref="A1:Q76"/>
  <sheetViews>
    <sheetView tabSelected="1" workbookViewId="0">
      <selection activeCell="I6" sqref="I6:O6"/>
    </sheetView>
  </sheetViews>
  <sheetFormatPr defaultRowHeight="14.4" x14ac:dyDescent="0.3"/>
  <cols>
    <col min="1" max="1" width="5.88671875" customWidth="1"/>
    <col min="2" max="2" width="12" customWidth="1"/>
    <col min="3" max="3" width="5.5546875" customWidth="1"/>
  </cols>
  <sheetData>
    <row r="1" spans="1:16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66"/>
      <c r="N1" s="166"/>
      <c r="O1" s="166"/>
      <c r="P1" s="1"/>
    </row>
    <row r="2" spans="1:16" x14ac:dyDescent="0.3">
      <c r="A2" s="3"/>
      <c r="B2" s="3"/>
      <c r="C2" s="2"/>
      <c r="D2" s="3"/>
      <c r="E2" s="3"/>
      <c r="F2" s="3"/>
      <c r="G2" s="3"/>
      <c r="H2" s="4"/>
      <c r="I2" s="5"/>
      <c r="J2" s="5"/>
      <c r="K2" s="167"/>
      <c r="L2" s="167"/>
      <c r="M2" s="6"/>
      <c r="N2" s="167"/>
      <c r="O2" s="167"/>
      <c r="P2" s="1"/>
    </row>
    <row r="3" spans="1:16" x14ac:dyDescent="0.3">
      <c r="A3" s="1"/>
      <c r="B3" s="1"/>
      <c r="C3" s="2"/>
      <c r="D3" s="1"/>
      <c r="E3" s="1"/>
      <c r="F3" s="1"/>
      <c r="G3" s="1"/>
      <c r="H3" s="1"/>
      <c r="I3" s="5"/>
      <c r="J3" s="5"/>
      <c r="K3" s="168" t="s">
        <v>132</v>
      </c>
      <c r="L3" s="168"/>
      <c r="M3" s="168"/>
      <c r="N3" s="168"/>
      <c r="O3" s="168"/>
      <c r="P3" s="1"/>
    </row>
    <row r="4" spans="1:16" x14ac:dyDescent="0.3">
      <c r="A4" s="1"/>
      <c r="B4" s="1"/>
      <c r="C4" s="2"/>
      <c r="D4" s="1"/>
      <c r="E4" s="1"/>
      <c r="F4" s="1"/>
      <c r="G4" s="1"/>
      <c r="H4" s="1"/>
      <c r="I4" s="1"/>
      <c r="J4" s="1"/>
      <c r="K4" s="7"/>
      <c r="L4" s="7"/>
      <c r="M4" s="7"/>
      <c r="N4" s="8" t="s">
        <v>138</v>
      </c>
      <c r="O4" s="9"/>
      <c r="P4" s="1"/>
    </row>
    <row r="5" spans="1:16" x14ac:dyDescent="0.3">
      <c r="A5" s="5"/>
      <c r="B5" s="5"/>
      <c r="C5" s="2"/>
      <c r="D5" s="5"/>
      <c r="E5" s="5"/>
      <c r="F5" s="5"/>
      <c r="G5" s="5"/>
      <c r="H5" s="5"/>
      <c r="I5" s="165" t="s">
        <v>134</v>
      </c>
      <c r="J5" s="165"/>
      <c r="K5" s="165"/>
      <c r="L5" s="165"/>
      <c r="M5" s="165"/>
      <c r="N5" s="165"/>
      <c r="O5" s="165"/>
      <c r="P5" s="1"/>
    </row>
    <row r="6" spans="1:16" x14ac:dyDescent="0.3">
      <c r="A6" s="1"/>
      <c r="B6" s="10"/>
      <c r="C6" s="11"/>
      <c r="D6" s="10"/>
      <c r="E6" s="10"/>
      <c r="F6" s="10"/>
      <c r="G6" s="10"/>
      <c r="H6" s="10"/>
      <c r="I6" s="165"/>
      <c r="J6" s="165"/>
      <c r="K6" s="165"/>
      <c r="L6" s="165"/>
      <c r="M6" s="165"/>
      <c r="N6" s="165"/>
      <c r="O6" s="165"/>
      <c r="P6" s="1"/>
    </row>
    <row r="7" spans="1:16" x14ac:dyDescent="0.3">
      <c r="A7" s="12" t="s">
        <v>0</v>
      </c>
      <c r="B7" s="12"/>
      <c r="C7" s="11"/>
      <c r="D7" s="12"/>
      <c r="E7" s="12"/>
      <c r="F7" s="5"/>
      <c r="G7" s="5"/>
      <c r="H7" s="5"/>
      <c r="I7" s="189"/>
      <c r="J7" s="189"/>
      <c r="K7" s="189"/>
      <c r="L7" s="189"/>
      <c r="M7" s="189"/>
      <c r="N7" s="189"/>
      <c r="O7" s="189"/>
      <c r="P7" s="13"/>
    </row>
    <row r="8" spans="1:16" ht="15.6" x14ac:dyDescent="0.3">
      <c r="A8" s="190" t="s">
        <v>1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</row>
    <row r="9" spans="1:16" x14ac:dyDescent="0.3">
      <c r="A9" s="191" t="s">
        <v>130</v>
      </c>
      <c r="B9" s="191"/>
      <c r="C9" s="191"/>
      <c r="D9" s="191"/>
      <c r="E9" s="191"/>
      <c r="F9" s="191"/>
      <c r="G9" s="191"/>
      <c r="H9" s="191"/>
      <c r="I9" s="191"/>
      <c r="J9" s="14"/>
      <c r="K9" s="14" t="s">
        <v>127</v>
      </c>
      <c r="L9" s="14"/>
      <c r="M9" s="192" t="s">
        <v>131</v>
      </c>
      <c r="N9" s="192"/>
      <c r="O9" s="192"/>
      <c r="P9" s="1"/>
    </row>
    <row r="10" spans="1:16" x14ac:dyDescent="0.3">
      <c r="A10" s="193" t="s">
        <v>2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4" t="s">
        <v>3</v>
      </c>
      <c r="O10" s="194"/>
      <c r="P10" s="194"/>
    </row>
    <row r="11" spans="1:16" ht="40.799999999999997" x14ac:dyDescent="0.3">
      <c r="A11" s="15" t="s">
        <v>4</v>
      </c>
      <c r="B11" s="15" t="s">
        <v>5</v>
      </c>
      <c r="C11" s="16" t="s">
        <v>6</v>
      </c>
      <c r="D11" s="17" t="s">
        <v>7</v>
      </c>
      <c r="E11" s="18" t="s">
        <v>8</v>
      </c>
      <c r="F11" s="18" t="s">
        <v>9</v>
      </c>
      <c r="G11" s="18" t="s">
        <v>10</v>
      </c>
      <c r="H11" s="18" t="s">
        <v>11</v>
      </c>
      <c r="I11" s="18" t="s">
        <v>12</v>
      </c>
      <c r="J11" s="18" t="s">
        <v>13</v>
      </c>
      <c r="K11" s="18" t="s">
        <v>14</v>
      </c>
      <c r="L11" s="18" t="s">
        <v>15</v>
      </c>
      <c r="M11" s="18" t="s">
        <v>16</v>
      </c>
      <c r="N11" s="19" t="s">
        <v>17</v>
      </c>
      <c r="O11" s="18" t="s">
        <v>65</v>
      </c>
      <c r="P11" s="20"/>
    </row>
    <row r="12" spans="1:16" x14ac:dyDescent="0.3">
      <c r="A12" s="22">
        <v>1</v>
      </c>
      <c r="B12" s="102" t="s">
        <v>60</v>
      </c>
      <c r="C12" s="34">
        <v>3</v>
      </c>
      <c r="D12" s="103" t="s">
        <v>66</v>
      </c>
      <c r="E12" s="24" t="s">
        <v>18</v>
      </c>
      <c r="F12" s="25">
        <v>1</v>
      </c>
      <c r="G12" s="25">
        <v>1</v>
      </c>
      <c r="H12" s="18">
        <v>12</v>
      </c>
      <c r="I12" s="26">
        <v>7356</v>
      </c>
      <c r="J12" s="27"/>
      <c r="K12" s="27"/>
      <c r="L12" s="27">
        <f>8647*F12-I12-K12</f>
        <v>1291</v>
      </c>
      <c r="M12" s="26">
        <v>8647</v>
      </c>
      <c r="N12" s="27">
        <v>8647</v>
      </c>
      <c r="O12" s="29">
        <f>M12*12+N12</f>
        <v>112411</v>
      </c>
      <c r="P12" s="10"/>
    </row>
    <row r="13" spans="1:16" x14ac:dyDescent="0.3">
      <c r="A13" s="22"/>
      <c r="B13" s="104" t="s">
        <v>67</v>
      </c>
      <c r="C13" s="30"/>
      <c r="D13" s="105" t="s">
        <v>68</v>
      </c>
      <c r="E13" s="24" t="s">
        <v>19</v>
      </c>
      <c r="F13" s="25">
        <v>0.5</v>
      </c>
      <c r="G13" s="25"/>
      <c r="H13" s="18">
        <v>12</v>
      </c>
      <c r="I13" s="26">
        <v>3678</v>
      </c>
      <c r="J13" s="27"/>
      <c r="K13" s="27"/>
      <c r="L13" s="27">
        <f>4323.5-I13-K13</f>
        <v>645.5</v>
      </c>
      <c r="M13" s="26">
        <f t="shared" ref="M13:M68" si="0">I13+J13+L13+K13</f>
        <v>4323.5</v>
      </c>
      <c r="N13" s="27">
        <f t="shared" ref="N13:N67" si="1">I13</f>
        <v>3678</v>
      </c>
      <c r="O13" s="29">
        <f>M13*12+N13</f>
        <v>55560</v>
      </c>
      <c r="P13" s="10"/>
    </row>
    <row r="14" spans="1:16" x14ac:dyDescent="0.3">
      <c r="A14" s="22"/>
      <c r="B14" s="104"/>
      <c r="C14" s="31"/>
      <c r="D14" s="106" t="s">
        <v>69</v>
      </c>
      <c r="E14" s="24" t="s">
        <v>70</v>
      </c>
      <c r="F14" s="25">
        <v>0.5</v>
      </c>
      <c r="G14" s="25">
        <v>0.5</v>
      </c>
      <c r="H14" s="18">
        <v>10</v>
      </c>
      <c r="I14" s="26">
        <v>3157.5</v>
      </c>
      <c r="J14" s="27"/>
      <c r="K14" s="27"/>
      <c r="L14" s="27">
        <f>4323.5-I14-K14</f>
        <v>1166</v>
      </c>
      <c r="M14" s="26">
        <f t="shared" si="0"/>
        <v>4323.5</v>
      </c>
      <c r="N14" s="27">
        <f t="shared" si="1"/>
        <v>3157.5</v>
      </c>
      <c r="O14" s="29">
        <f>M14*12+N14</f>
        <v>55039.5</v>
      </c>
      <c r="P14" s="10"/>
    </row>
    <row r="15" spans="1:16" x14ac:dyDescent="0.3">
      <c r="A15" s="22"/>
      <c r="B15" s="104"/>
      <c r="C15" s="31"/>
      <c r="D15" s="106" t="s">
        <v>71</v>
      </c>
      <c r="E15" s="24" t="s">
        <v>20</v>
      </c>
      <c r="F15" s="25">
        <v>0.5</v>
      </c>
      <c r="G15" s="25">
        <v>0.5</v>
      </c>
      <c r="H15" s="18">
        <v>8</v>
      </c>
      <c r="I15" s="26">
        <v>2845.5</v>
      </c>
      <c r="J15" s="27"/>
      <c r="K15" s="27"/>
      <c r="L15" s="27">
        <f>4323.5-I15-K15</f>
        <v>1478</v>
      </c>
      <c r="M15" s="26">
        <f t="shared" si="0"/>
        <v>4323.5</v>
      </c>
      <c r="N15" s="27">
        <f t="shared" si="1"/>
        <v>2845.5</v>
      </c>
      <c r="O15" s="29">
        <f>M15*12+N15</f>
        <v>54727.5</v>
      </c>
      <c r="P15" s="10"/>
    </row>
    <row r="16" spans="1:16" x14ac:dyDescent="0.3">
      <c r="A16" s="22"/>
      <c r="B16" s="107"/>
      <c r="C16" s="32"/>
      <c r="D16" s="106" t="s">
        <v>72</v>
      </c>
      <c r="E16" s="24">
        <v>9132</v>
      </c>
      <c r="F16" s="25">
        <v>1</v>
      </c>
      <c r="G16" s="25">
        <v>1</v>
      </c>
      <c r="H16" s="18">
        <v>1</v>
      </c>
      <c r="I16" s="26">
        <v>3470</v>
      </c>
      <c r="J16" s="27">
        <f>SUM(I16*10%)</f>
        <v>347</v>
      </c>
      <c r="K16" s="27"/>
      <c r="L16" s="27">
        <f>8647-I16-K16</f>
        <v>5177</v>
      </c>
      <c r="M16" s="26">
        <f t="shared" si="0"/>
        <v>8994</v>
      </c>
      <c r="N16" s="28">
        <f>I16</f>
        <v>3470</v>
      </c>
      <c r="O16" s="29">
        <f>M16*12+N16</f>
        <v>111398</v>
      </c>
      <c r="P16" s="10"/>
    </row>
    <row r="17" spans="1:16" x14ac:dyDescent="0.3">
      <c r="A17" s="22"/>
      <c r="B17" s="107"/>
      <c r="C17" s="32"/>
      <c r="D17" s="106" t="s">
        <v>73</v>
      </c>
      <c r="E17" s="24">
        <v>9141</v>
      </c>
      <c r="F17" s="25">
        <v>1</v>
      </c>
      <c r="G17" s="25">
        <v>1</v>
      </c>
      <c r="H17" s="18">
        <v>1</v>
      </c>
      <c r="I17" s="26">
        <v>3470</v>
      </c>
      <c r="J17" s="27"/>
      <c r="K17" s="27"/>
      <c r="L17" s="27">
        <f>8647*F17-I17-K17</f>
        <v>5177</v>
      </c>
      <c r="M17" s="26">
        <f t="shared" si="0"/>
        <v>8647</v>
      </c>
      <c r="N17" s="28">
        <f>I17</f>
        <v>3470</v>
      </c>
      <c r="O17" s="29">
        <f>M17*6+N17</f>
        <v>55352</v>
      </c>
      <c r="P17" s="10"/>
    </row>
    <row r="18" spans="1:16" x14ac:dyDescent="0.3">
      <c r="A18" s="22"/>
      <c r="B18" s="108"/>
      <c r="C18" s="33"/>
      <c r="D18" s="106" t="s">
        <v>73</v>
      </c>
      <c r="E18" s="24">
        <v>9141</v>
      </c>
      <c r="F18" s="25">
        <v>1</v>
      </c>
      <c r="G18" s="25">
        <v>1</v>
      </c>
      <c r="H18" s="18">
        <v>1</v>
      </c>
      <c r="I18" s="26">
        <v>3470</v>
      </c>
      <c r="J18" s="27"/>
      <c r="K18" s="27"/>
      <c r="L18" s="27">
        <f>8647*F18-I18-K18</f>
        <v>5177</v>
      </c>
      <c r="M18" s="26">
        <f t="shared" si="0"/>
        <v>8647</v>
      </c>
      <c r="N18" s="28">
        <f>I18</f>
        <v>3470</v>
      </c>
      <c r="O18" s="29">
        <f>M18*6+N18</f>
        <v>55352</v>
      </c>
      <c r="P18" s="10"/>
    </row>
    <row r="19" spans="1:16" x14ac:dyDescent="0.3">
      <c r="A19" s="22">
        <v>2</v>
      </c>
      <c r="B19" s="102" t="s">
        <v>74</v>
      </c>
      <c r="C19" s="34">
        <v>4</v>
      </c>
      <c r="D19" s="103" t="s">
        <v>75</v>
      </c>
      <c r="E19" s="24" t="s">
        <v>20</v>
      </c>
      <c r="F19" s="25">
        <v>0.5</v>
      </c>
      <c r="G19" s="25">
        <v>0.5</v>
      </c>
      <c r="H19" s="18">
        <v>8</v>
      </c>
      <c r="I19" s="26">
        <v>2845.5</v>
      </c>
      <c r="J19" s="27"/>
      <c r="K19" s="27"/>
      <c r="L19" s="27">
        <f>3423.5-I19-K19</f>
        <v>578</v>
      </c>
      <c r="M19" s="26">
        <f t="shared" si="0"/>
        <v>3423.5</v>
      </c>
      <c r="N19" s="164">
        <f t="shared" si="1"/>
        <v>2845.5</v>
      </c>
      <c r="O19" s="29">
        <f t="shared" ref="O19:O24" si="2">M19*12+N19</f>
        <v>43927.5</v>
      </c>
      <c r="P19" s="10"/>
    </row>
    <row r="20" spans="1:16" x14ac:dyDescent="0.3">
      <c r="A20" s="22"/>
      <c r="B20" s="109" t="s">
        <v>76</v>
      </c>
      <c r="C20" s="35"/>
      <c r="D20" s="106" t="s">
        <v>71</v>
      </c>
      <c r="E20" s="24" t="s">
        <v>20</v>
      </c>
      <c r="F20" s="25">
        <v>0.5</v>
      </c>
      <c r="G20" s="25"/>
      <c r="H20" s="18">
        <v>8</v>
      </c>
      <c r="I20" s="26">
        <v>2845.5</v>
      </c>
      <c r="J20" s="27"/>
      <c r="K20" s="27"/>
      <c r="L20" s="27">
        <f>3423.5-I20-K20</f>
        <v>578</v>
      </c>
      <c r="M20" s="26">
        <f t="shared" si="0"/>
        <v>3423.5</v>
      </c>
      <c r="N20" s="27">
        <f t="shared" si="1"/>
        <v>2845.5</v>
      </c>
      <c r="O20" s="29">
        <f t="shared" si="2"/>
        <v>43927.5</v>
      </c>
      <c r="P20" s="10"/>
    </row>
    <row r="21" spans="1:16" x14ac:dyDescent="0.3">
      <c r="A21" s="22"/>
      <c r="B21" s="109"/>
      <c r="C21" s="35"/>
      <c r="D21" s="103" t="s">
        <v>72</v>
      </c>
      <c r="E21" s="24">
        <v>9132</v>
      </c>
      <c r="F21" s="25">
        <v>0.5</v>
      </c>
      <c r="G21" s="25">
        <v>0.5</v>
      </c>
      <c r="H21" s="18">
        <v>1</v>
      </c>
      <c r="I21" s="26">
        <v>1735</v>
      </c>
      <c r="J21" s="27">
        <f>SUM(I21*10%)</f>
        <v>173.5</v>
      </c>
      <c r="K21" s="27"/>
      <c r="L21" s="27">
        <f>3423.5-I21-K21</f>
        <v>1688.5</v>
      </c>
      <c r="M21" s="26">
        <f t="shared" si="0"/>
        <v>3597</v>
      </c>
      <c r="N21" s="28">
        <f>I21</f>
        <v>1735</v>
      </c>
      <c r="O21" s="29">
        <f t="shared" si="2"/>
        <v>44899</v>
      </c>
      <c r="P21" s="10"/>
    </row>
    <row r="22" spans="1:16" x14ac:dyDescent="0.3">
      <c r="A22" s="22">
        <v>3</v>
      </c>
      <c r="B22" s="102" t="s">
        <v>62</v>
      </c>
      <c r="C22" s="34">
        <v>4</v>
      </c>
      <c r="D22" s="103" t="s">
        <v>77</v>
      </c>
      <c r="E22" s="24" t="s">
        <v>20</v>
      </c>
      <c r="F22" s="25">
        <v>1</v>
      </c>
      <c r="G22" s="25">
        <v>1</v>
      </c>
      <c r="H22" s="18">
        <v>10</v>
      </c>
      <c r="I22" s="26">
        <v>6315</v>
      </c>
      <c r="J22" s="27"/>
      <c r="K22" s="27">
        <f>I22*10%</f>
        <v>631.5</v>
      </c>
      <c r="L22" s="27">
        <f>8647*F22-I22-K22</f>
        <v>1700.5</v>
      </c>
      <c r="M22" s="26">
        <f t="shared" si="0"/>
        <v>8647</v>
      </c>
      <c r="N22" s="28">
        <f t="shared" si="1"/>
        <v>6315</v>
      </c>
      <c r="O22" s="29">
        <f t="shared" si="2"/>
        <v>110079</v>
      </c>
      <c r="P22" s="10"/>
    </row>
    <row r="23" spans="1:16" x14ac:dyDescent="0.3">
      <c r="A23" s="22"/>
      <c r="B23" s="36" t="s">
        <v>76</v>
      </c>
      <c r="C23" s="35"/>
      <c r="D23" s="106" t="s">
        <v>71</v>
      </c>
      <c r="E23" s="24" t="s">
        <v>20</v>
      </c>
      <c r="F23" s="25">
        <v>0.5</v>
      </c>
      <c r="G23" s="25"/>
      <c r="H23" s="18">
        <v>8</v>
      </c>
      <c r="I23" s="26">
        <v>2845.5</v>
      </c>
      <c r="J23" s="27"/>
      <c r="K23" s="27"/>
      <c r="L23" s="27">
        <f>3423.5-I23-K23</f>
        <v>578</v>
      </c>
      <c r="M23" s="26">
        <f t="shared" si="0"/>
        <v>3423.5</v>
      </c>
      <c r="N23" s="27">
        <f t="shared" si="1"/>
        <v>2845.5</v>
      </c>
      <c r="O23" s="29">
        <f t="shared" si="2"/>
        <v>43927.5</v>
      </c>
      <c r="P23" s="10"/>
    </row>
    <row r="24" spans="1:16" x14ac:dyDescent="0.3">
      <c r="A24" s="22"/>
      <c r="B24" s="36"/>
      <c r="C24" s="30"/>
      <c r="D24" s="103" t="s">
        <v>72</v>
      </c>
      <c r="E24" s="24">
        <v>9132</v>
      </c>
      <c r="F24" s="25">
        <v>0.5</v>
      </c>
      <c r="G24" s="25">
        <v>0.5</v>
      </c>
      <c r="H24" s="18">
        <v>1</v>
      </c>
      <c r="I24" s="26">
        <v>1735</v>
      </c>
      <c r="J24" s="27">
        <f>SUM(I24*10%)</f>
        <v>173.5</v>
      </c>
      <c r="K24" s="27"/>
      <c r="L24" s="27">
        <f>3423.5-I24-K24</f>
        <v>1688.5</v>
      </c>
      <c r="M24" s="26">
        <f t="shared" si="0"/>
        <v>3597</v>
      </c>
      <c r="N24" s="28">
        <f>I24</f>
        <v>1735</v>
      </c>
      <c r="O24" s="29">
        <f t="shared" si="2"/>
        <v>44899</v>
      </c>
      <c r="P24" s="10"/>
    </row>
    <row r="25" spans="1:16" x14ac:dyDescent="0.3">
      <c r="A25" s="22"/>
      <c r="B25" s="36"/>
      <c r="C25" s="31"/>
      <c r="D25" s="110" t="s">
        <v>73</v>
      </c>
      <c r="E25" s="24">
        <v>9141</v>
      </c>
      <c r="F25" s="25">
        <v>1</v>
      </c>
      <c r="G25" s="25">
        <v>1</v>
      </c>
      <c r="H25" s="18">
        <v>1</v>
      </c>
      <c r="I25" s="26">
        <v>3470</v>
      </c>
      <c r="J25" s="27"/>
      <c r="K25" s="27"/>
      <c r="L25" s="27">
        <f>8647*F25-I25-K25</f>
        <v>5177</v>
      </c>
      <c r="M25" s="26">
        <f t="shared" si="0"/>
        <v>8647</v>
      </c>
      <c r="N25" s="28">
        <f>I25</f>
        <v>3470</v>
      </c>
      <c r="O25" s="29">
        <f>M25*6+N25</f>
        <v>55352</v>
      </c>
      <c r="P25" s="10"/>
    </row>
    <row r="26" spans="1:16" x14ac:dyDescent="0.3">
      <c r="A26" s="22"/>
      <c r="B26" s="23"/>
      <c r="C26" s="33"/>
      <c r="D26" s="110" t="s">
        <v>73</v>
      </c>
      <c r="E26" s="24">
        <v>9141</v>
      </c>
      <c r="F26" s="25">
        <v>1</v>
      </c>
      <c r="G26" s="25">
        <v>1</v>
      </c>
      <c r="H26" s="18">
        <v>1</v>
      </c>
      <c r="I26" s="26">
        <v>3470</v>
      </c>
      <c r="J26" s="27"/>
      <c r="K26" s="27"/>
      <c r="L26" s="27">
        <f>8647*F26-I26-K26</f>
        <v>5177</v>
      </c>
      <c r="M26" s="26">
        <f t="shared" si="0"/>
        <v>8647</v>
      </c>
      <c r="N26" s="28">
        <f>I26</f>
        <v>3470</v>
      </c>
      <c r="O26" s="29">
        <f>M26*6+N26</f>
        <v>55352</v>
      </c>
      <c r="P26" s="10"/>
    </row>
    <row r="27" spans="1:16" x14ac:dyDescent="0.3">
      <c r="A27" s="22">
        <v>4</v>
      </c>
      <c r="B27" s="102" t="s">
        <v>58</v>
      </c>
      <c r="C27" s="34">
        <v>3</v>
      </c>
      <c r="D27" s="103" t="s">
        <v>77</v>
      </c>
      <c r="E27" s="24" t="s">
        <v>18</v>
      </c>
      <c r="F27" s="25">
        <v>1</v>
      </c>
      <c r="G27" s="25" t="s">
        <v>78</v>
      </c>
      <c r="H27" s="18">
        <v>11</v>
      </c>
      <c r="I27" s="26">
        <v>6836</v>
      </c>
      <c r="J27" s="27"/>
      <c r="K27" s="27">
        <f>I27*20%</f>
        <v>1367.2</v>
      </c>
      <c r="L27" s="27">
        <f>8647*F27-I27-K27</f>
        <v>443.79999999999995</v>
      </c>
      <c r="M27" s="26">
        <f t="shared" si="0"/>
        <v>8647</v>
      </c>
      <c r="N27" s="28">
        <f t="shared" si="1"/>
        <v>6836</v>
      </c>
      <c r="O27" s="29">
        <f t="shared" ref="O27:O53" si="3">M27*12+N27</f>
        <v>110600</v>
      </c>
      <c r="P27" s="10"/>
    </row>
    <row r="28" spans="1:16" x14ac:dyDescent="0.3">
      <c r="A28" s="22"/>
      <c r="B28" s="36" t="s">
        <v>76</v>
      </c>
      <c r="C28" s="30"/>
      <c r="D28" s="103" t="s">
        <v>68</v>
      </c>
      <c r="E28" s="24" t="s">
        <v>19</v>
      </c>
      <c r="F28" s="25">
        <v>0.5</v>
      </c>
      <c r="G28" s="25"/>
      <c r="H28" s="18">
        <v>10</v>
      </c>
      <c r="I28" s="26">
        <v>3157.5</v>
      </c>
      <c r="J28" s="27"/>
      <c r="K28" s="27"/>
      <c r="L28" s="27">
        <f t="shared" ref="L28:L36" si="4">4323.5-I28-K28</f>
        <v>1166</v>
      </c>
      <c r="M28" s="26">
        <f t="shared" si="0"/>
        <v>4323.5</v>
      </c>
      <c r="N28" s="27">
        <f t="shared" si="1"/>
        <v>3157.5</v>
      </c>
      <c r="O28" s="29">
        <f t="shared" si="3"/>
        <v>55039.5</v>
      </c>
      <c r="P28" s="10"/>
    </row>
    <row r="29" spans="1:16" x14ac:dyDescent="0.3">
      <c r="A29" s="22"/>
      <c r="B29" s="109"/>
      <c r="C29" s="35"/>
      <c r="D29" s="106" t="s">
        <v>71</v>
      </c>
      <c r="E29" s="24" t="s">
        <v>20</v>
      </c>
      <c r="F29" s="25">
        <v>0.5</v>
      </c>
      <c r="G29" s="25">
        <v>0.5</v>
      </c>
      <c r="H29" s="18">
        <v>8</v>
      </c>
      <c r="I29" s="26">
        <v>2845.5</v>
      </c>
      <c r="J29" s="27"/>
      <c r="K29" s="27"/>
      <c r="L29" s="27">
        <f t="shared" si="4"/>
        <v>1478</v>
      </c>
      <c r="M29" s="26">
        <f t="shared" si="0"/>
        <v>4323.5</v>
      </c>
      <c r="N29" s="164">
        <f t="shared" si="1"/>
        <v>2845.5</v>
      </c>
      <c r="O29" s="29">
        <f t="shared" si="3"/>
        <v>54727.5</v>
      </c>
      <c r="P29" s="10"/>
    </row>
    <row r="30" spans="1:16" x14ac:dyDescent="0.3">
      <c r="A30" s="22"/>
      <c r="B30" s="109"/>
      <c r="C30" s="111"/>
      <c r="D30" s="110" t="s">
        <v>72</v>
      </c>
      <c r="E30" s="24">
        <v>9132</v>
      </c>
      <c r="F30" s="25">
        <v>0.5</v>
      </c>
      <c r="G30" s="25"/>
      <c r="H30" s="18">
        <v>1</v>
      </c>
      <c r="I30" s="26">
        <v>1735</v>
      </c>
      <c r="J30" s="27">
        <f>SUM(I30*10%)</f>
        <v>173.5</v>
      </c>
      <c r="K30" s="27"/>
      <c r="L30" s="27">
        <f t="shared" si="4"/>
        <v>2588.5</v>
      </c>
      <c r="M30" s="26">
        <f>I30+J30+L30+K30</f>
        <v>4497</v>
      </c>
      <c r="N30" s="28">
        <f>I30</f>
        <v>1735</v>
      </c>
      <c r="O30" s="29">
        <f t="shared" si="3"/>
        <v>55699</v>
      </c>
      <c r="P30" s="10"/>
    </row>
    <row r="31" spans="1:16" x14ac:dyDescent="0.3">
      <c r="A31" s="22">
        <v>5</v>
      </c>
      <c r="B31" s="102" t="s">
        <v>79</v>
      </c>
      <c r="C31" s="34">
        <v>4</v>
      </c>
      <c r="D31" s="103" t="s">
        <v>77</v>
      </c>
      <c r="E31" s="24" t="s">
        <v>20</v>
      </c>
      <c r="F31" s="25">
        <v>0.5</v>
      </c>
      <c r="G31" s="25">
        <v>0.5</v>
      </c>
      <c r="H31" s="18">
        <v>10</v>
      </c>
      <c r="I31" s="26">
        <v>3157.5</v>
      </c>
      <c r="J31" s="27"/>
      <c r="K31" s="27"/>
      <c r="L31" s="27">
        <f t="shared" si="4"/>
        <v>1166</v>
      </c>
      <c r="M31" s="26">
        <f t="shared" si="0"/>
        <v>4323.5</v>
      </c>
      <c r="N31" s="164">
        <f t="shared" si="1"/>
        <v>3157.5</v>
      </c>
      <c r="O31" s="29">
        <f t="shared" si="3"/>
        <v>55039.5</v>
      </c>
      <c r="P31" s="10"/>
    </row>
    <row r="32" spans="1:16" x14ac:dyDescent="0.3">
      <c r="A32" s="22"/>
      <c r="B32" s="36" t="s">
        <v>76</v>
      </c>
      <c r="C32" s="35"/>
      <c r="D32" s="106" t="s">
        <v>71</v>
      </c>
      <c r="E32" s="24" t="s">
        <v>20</v>
      </c>
      <c r="F32" s="25">
        <v>0.5</v>
      </c>
      <c r="G32" s="25"/>
      <c r="H32" s="18">
        <v>8</v>
      </c>
      <c r="I32" s="26">
        <v>2845.5</v>
      </c>
      <c r="J32" s="27"/>
      <c r="K32" s="27"/>
      <c r="L32" s="27">
        <f t="shared" si="4"/>
        <v>1478</v>
      </c>
      <c r="M32" s="26">
        <f t="shared" si="0"/>
        <v>4323.5</v>
      </c>
      <c r="N32" s="164">
        <f t="shared" si="1"/>
        <v>2845.5</v>
      </c>
      <c r="O32" s="29">
        <f t="shared" si="3"/>
        <v>54727.5</v>
      </c>
      <c r="P32" s="10"/>
    </row>
    <row r="33" spans="1:16" x14ac:dyDescent="0.3">
      <c r="A33" s="22"/>
      <c r="B33" s="36"/>
      <c r="C33" s="30"/>
      <c r="D33" s="103" t="s">
        <v>72</v>
      </c>
      <c r="E33" s="24">
        <v>9132</v>
      </c>
      <c r="F33" s="25">
        <v>0.5</v>
      </c>
      <c r="G33" s="25"/>
      <c r="H33" s="18">
        <v>1</v>
      </c>
      <c r="I33" s="26">
        <v>1735</v>
      </c>
      <c r="J33" s="27">
        <f>SUM(I33*10%)</f>
        <v>173.5</v>
      </c>
      <c r="K33" s="27"/>
      <c r="L33" s="27">
        <f t="shared" si="4"/>
        <v>2588.5</v>
      </c>
      <c r="M33" s="26">
        <f t="shared" si="0"/>
        <v>4497</v>
      </c>
      <c r="N33" s="28">
        <f>I33</f>
        <v>1735</v>
      </c>
      <c r="O33" s="29">
        <f t="shared" si="3"/>
        <v>55699</v>
      </c>
      <c r="P33" s="10"/>
    </row>
    <row r="34" spans="1:16" x14ac:dyDescent="0.3">
      <c r="A34" s="22">
        <v>6</v>
      </c>
      <c r="B34" s="102" t="s">
        <v>64</v>
      </c>
      <c r="C34" s="34">
        <v>4</v>
      </c>
      <c r="D34" s="103" t="s">
        <v>77</v>
      </c>
      <c r="E34" s="24" t="s">
        <v>18</v>
      </c>
      <c r="F34" s="25">
        <v>0.5</v>
      </c>
      <c r="G34" s="25"/>
      <c r="H34" s="18">
        <v>11</v>
      </c>
      <c r="I34" s="26">
        <v>3418</v>
      </c>
      <c r="J34" s="27"/>
      <c r="K34" s="27"/>
      <c r="L34" s="27">
        <f t="shared" si="4"/>
        <v>905.5</v>
      </c>
      <c r="M34" s="26">
        <f t="shared" si="0"/>
        <v>4323.5</v>
      </c>
      <c r="N34" s="28">
        <f t="shared" si="1"/>
        <v>3418</v>
      </c>
      <c r="O34" s="29">
        <f t="shared" si="3"/>
        <v>55300</v>
      </c>
      <c r="P34" s="10"/>
    </row>
    <row r="35" spans="1:16" x14ac:dyDescent="0.3">
      <c r="A35" s="22"/>
      <c r="B35" s="36" t="s">
        <v>76</v>
      </c>
      <c r="C35" s="35"/>
      <c r="D35" s="106" t="s">
        <v>71</v>
      </c>
      <c r="E35" s="24" t="s">
        <v>20</v>
      </c>
      <c r="F35" s="25">
        <v>0.5</v>
      </c>
      <c r="G35" s="25"/>
      <c r="H35" s="18">
        <v>8</v>
      </c>
      <c r="I35" s="26">
        <v>2845.5</v>
      </c>
      <c r="J35" s="27"/>
      <c r="K35" s="27"/>
      <c r="L35" s="27">
        <f t="shared" si="4"/>
        <v>1478</v>
      </c>
      <c r="M35" s="26">
        <f t="shared" si="0"/>
        <v>4323.5</v>
      </c>
      <c r="N35" s="164">
        <f t="shared" si="1"/>
        <v>2845.5</v>
      </c>
      <c r="O35" s="29">
        <f t="shared" si="3"/>
        <v>54727.5</v>
      </c>
      <c r="P35" s="10"/>
    </row>
    <row r="36" spans="1:16" x14ac:dyDescent="0.3">
      <c r="A36" s="22"/>
      <c r="B36" s="36"/>
      <c r="C36" s="30"/>
      <c r="D36" s="103" t="s">
        <v>72</v>
      </c>
      <c r="E36" s="24">
        <v>9132</v>
      </c>
      <c r="F36" s="25">
        <v>0.5</v>
      </c>
      <c r="G36" s="25"/>
      <c r="H36" s="18">
        <v>1</v>
      </c>
      <c r="I36" s="26">
        <v>1735</v>
      </c>
      <c r="J36" s="27">
        <f>SUM(I36*10%)</f>
        <v>173.5</v>
      </c>
      <c r="K36" s="27"/>
      <c r="L36" s="27">
        <f t="shared" si="4"/>
        <v>2588.5</v>
      </c>
      <c r="M36" s="26">
        <f t="shared" si="0"/>
        <v>4497</v>
      </c>
      <c r="N36" s="164">
        <f>I36</f>
        <v>1735</v>
      </c>
      <c r="O36" s="29">
        <f t="shared" si="3"/>
        <v>55699</v>
      </c>
      <c r="P36" s="10"/>
    </row>
    <row r="37" spans="1:16" x14ac:dyDescent="0.3">
      <c r="A37" s="22">
        <v>7</v>
      </c>
      <c r="B37" s="112" t="s">
        <v>80</v>
      </c>
      <c r="C37" s="31">
        <v>4</v>
      </c>
      <c r="D37" s="110" t="s">
        <v>77</v>
      </c>
      <c r="E37" s="24" t="s">
        <v>20</v>
      </c>
      <c r="F37" s="25">
        <v>0.5</v>
      </c>
      <c r="G37" s="25">
        <v>0.5</v>
      </c>
      <c r="H37" s="18">
        <v>10</v>
      </c>
      <c r="I37" s="26">
        <f>6315*F37</f>
        <v>3157.5</v>
      </c>
      <c r="J37" s="27"/>
      <c r="K37" s="27">
        <f>I37*10%</f>
        <v>315.75</v>
      </c>
      <c r="L37" s="27">
        <f t="shared" ref="L37:L57" si="5">8647*F37-I37-K37</f>
        <v>850.25</v>
      </c>
      <c r="M37" s="26">
        <f t="shared" si="0"/>
        <v>4323.5</v>
      </c>
      <c r="N37" s="164">
        <f t="shared" si="1"/>
        <v>3157.5</v>
      </c>
      <c r="O37" s="29">
        <f t="shared" si="3"/>
        <v>55039.5</v>
      </c>
      <c r="P37" s="10"/>
    </row>
    <row r="38" spans="1:16" x14ac:dyDescent="0.3">
      <c r="A38" s="22"/>
      <c r="B38" s="112"/>
      <c r="C38" s="31"/>
      <c r="D38" s="106" t="s">
        <v>71</v>
      </c>
      <c r="E38" s="24" t="s">
        <v>20</v>
      </c>
      <c r="F38" s="25">
        <v>0.5</v>
      </c>
      <c r="G38" s="25"/>
      <c r="H38" s="18">
        <v>8</v>
      </c>
      <c r="I38" s="26">
        <f>5691*F38</f>
        <v>2845.5</v>
      </c>
      <c r="J38" s="27"/>
      <c r="K38" s="27"/>
      <c r="L38" s="27">
        <f t="shared" si="5"/>
        <v>1478</v>
      </c>
      <c r="M38" s="26">
        <f t="shared" si="0"/>
        <v>4323.5</v>
      </c>
      <c r="N38" s="28">
        <f t="shared" si="1"/>
        <v>2845.5</v>
      </c>
      <c r="O38" s="29">
        <f t="shared" si="3"/>
        <v>54727.5</v>
      </c>
      <c r="P38" s="10"/>
    </row>
    <row r="39" spans="1:16" x14ac:dyDescent="0.3">
      <c r="A39" s="22"/>
      <c r="B39" s="112"/>
      <c r="C39" s="31"/>
      <c r="D39" s="103" t="s">
        <v>72</v>
      </c>
      <c r="E39" s="24">
        <v>9132</v>
      </c>
      <c r="F39" s="25">
        <v>0.5</v>
      </c>
      <c r="G39" s="25"/>
      <c r="H39" s="18">
        <v>1</v>
      </c>
      <c r="I39" s="26">
        <f>3470*F39</f>
        <v>1735</v>
      </c>
      <c r="J39" s="27">
        <f>SUM(I39*10%)</f>
        <v>173.5</v>
      </c>
      <c r="K39" s="27"/>
      <c r="L39" s="27">
        <f t="shared" si="5"/>
        <v>2588.5</v>
      </c>
      <c r="M39" s="26">
        <f t="shared" si="0"/>
        <v>4497</v>
      </c>
      <c r="N39" s="164">
        <f>I39</f>
        <v>1735</v>
      </c>
      <c r="O39" s="29">
        <f t="shared" si="3"/>
        <v>55699</v>
      </c>
      <c r="P39" s="10"/>
    </row>
    <row r="40" spans="1:16" x14ac:dyDescent="0.3">
      <c r="A40" s="22">
        <v>8</v>
      </c>
      <c r="B40" s="113" t="s">
        <v>81</v>
      </c>
      <c r="C40" s="32">
        <v>4</v>
      </c>
      <c r="D40" s="110" t="s">
        <v>77</v>
      </c>
      <c r="E40" s="24" t="s">
        <v>20</v>
      </c>
      <c r="F40" s="25">
        <v>0.5</v>
      </c>
      <c r="G40" s="25">
        <v>0.5</v>
      </c>
      <c r="H40" s="18">
        <v>10</v>
      </c>
      <c r="I40" s="26">
        <f>6315*F40</f>
        <v>3157.5</v>
      </c>
      <c r="J40" s="27"/>
      <c r="K40" s="27">
        <f>I40*10%</f>
        <v>315.75</v>
      </c>
      <c r="L40" s="27">
        <f t="shared" si="5"/>
        <v>850.25</v>
      </c>
      <c r="M40" s="26">
        <f t="shared" si="0"/>
        <v>4323.5</v>
      </c>
      <c r="N40" s="164">
        <f t="shared" ref="N40:N41" si="6">I40</f>
        <v>3157.5</v>
      </c>
      <c r="O40" s="29">
        <f t="shared" si="3"/>
        <v>55039.5</v>
      </c>
      <c r="P40" s="10"/>
    </row>
    <row r="41" spans="1:16" x14ac:dyDescent="0.3">
      <c r="A41" s="22"/>
      <c r="B41" s="113"/>
      <c r="C41" s="32"/>
      <c r="D41" s="106" t="s">
        <v>71</v>
      </c>
      <c r="E41" s="24" t="s">
        <v>20</v>
      </c>
      <c r="F41" s="25">
        <v>0.5</v>
      </c>
      <c r="G41" s="25"/>
      <c r="H41" s="18">
        <v>8</v>
      </c>
      <c r="I41" s="26">
        <f>5691*F41</f>
        <v>2845.5</v>
      </c>
      <c r="J41" s="27"/>
      <c r="K41" s="27"/>
      <c r="L41" s="27">
        <f t="shared" si="5"/>
        <v>1478</v>
      </c>
      <c r="M41" s="26">
        <f t="shared" si="0"/>
        <v>4323.5</v>
      </c>
      <c r="N41" s="164">
        <f t="shared" si="6"/>
        <v>2845.5</v>
      </c>
      <c r="O41" s="29">
        <f t="shared" si="3"/>
        <v>54727.5</v>
      </c>
      <c r="P41" s="10"/>
    </row>
    <row r="42" spans="1:16" x14ac:dyDescent="0.3">
      <c r="A42" s="22"/>
      <c r="B42" s="114"/>
      <c r="C42" s="32"/>
      <c r="D42" s="110" t="s">
        <v>72</v>
      </c>
      <c r="E42" s="24">
        <v>9132</v>
      </c>
      <c r="F42" s="25">
        <v>0.5</v>
      </c>
      <c r="G42" s="25"/>
      <c r="H42" s="18">
        <v>1</v>
      </c>
      <c r="I42" s="26">
        <f>3470*F42</f>
        <v>1735</v>
      </c>
      <c r="J42" s="27">
        <f>SUM(I42*10%)</f>
        <v>173.5</v>
      </c>
      <c r="K42" s="27"/>
      <c r="L42" s="27">
        <f t="shared" si="5"/>
        <v>2588.5</v>
      </c>
      <c r="M42" s="26">
        <f t="shared" si="0"/>
        <v>4497</v>
      </c>
      <c r="N42" s="28">
        <f>I42</f>
        <v>1735</v>
      </c>
      <c r="O42" s="29">
        <f t="shared" si="3"/>
        <v>55699</v>
      </c>
      <c r="P42" s="10"/>
    </row>
    <row r="43" spans="1:16" x14ac:dyDescent="0.3">
      <c r="A43" s="22">
        <v>9</v>
      </c>
      <c r="B43" s="113" t="s">
        <v>82</v>
      </c>
      <c r="C43" s="32">
        <v>4</v>
      </c>
      <c r="D43" s="110" t="s">
        <v>77</v>
      </c>
      <c r="E43" s="24" t="s">
        <v>18</v>
      </c>
      <c r="F43" s="25">
        <v>0.5</v>
      </c>
      <c r="G43" s="25">
        <v>0.5</v>
      </c>
      <c r="H43" s="18">
        <v>10</v>
      </c>
      <c r="I43" s="26">
        <f>6315*F43</f>
        <v>3157.5</v>
      </c>
      <c r="J43" s="27"/>
      <c r="K43" s="27">
        <f>I43*20%</f>
        <v>631.5</v>
      </c>
      <c r="L43" s="27">
        <f t="shared" si="5"/>
        <v>534.5</v>
      </c>
      <c r="M43" s="26">
        <f t="shared" si="0"/>
        <v>4323.5</v>
      </c>
      <c r="N43" s="28">
        <f t="shared" si="1"/>
        <v>3157.5</v>
      </c>
      <c r="O43" s="29">
        <f t="shared" si="3"/>
        <v>55039.5</v>
      </c>
      <c r="P43" s="10"/>
    </row>
    <row r="44" spans="1:16" x14ac:dyDescent="0.3">
      <c r="A44" s="22"/>
      <c r="B44" s="102"/>
      <c r="C44" s="33"/>
      <c r="D44" s="106" t="s">
        <v>71</v>
      </c>
      <c r="E44" s="24" t="s">
        <v>20</v>
      </c>
      <c r="F44" s="25">
        <v>0.5</v>
      </c>
      <c r="G44" s="25"/>
      <c r="H44" s="18">
        <v>8</v>
      </c>
      <c r="I44" s="26">
        <f>5691*F44</f>
        <v>2845.5</v>
      </c>
      <c r="J44" s="27"/>
      <c r="K44" s="27"/>
      <c r="L44" s="27">
        <f t="shared" si="5"/>
        <v>1478</v>
      </c>
      <c r="M44" s="26">
        <f t="shared" si="0"/>
        <v>4323.5</v>
      </c>
      <c r="N44" s="164">
        <f t="shared" si="1"/>
        <v>2845.5</v>
      </c>
      <c r="O44" s="29">
        <f t="shared" si="3"/>
        <v>54727.5</v>
      </c>
      <c r="P44" s="10"/>
    </row>
    <row r="45" spans="1:16" x14ac:dyDescent="0.3">
      <c r="A45" s="22"/>
      <c r="B45" s="108"/>
      <c r="C45" s="33"/>
      <c r="D45" s="106" t="s">
        <v>72</v>
      </c>
      <c r="E45" s="24">
        <v>9132</v>
      </c>
      <c r="F45" s="25">
        <v>0.5</v>
      </c>
      <c r="G45" s="25">
        <v>0.5</v>
      </c>
      <c r="H45" s="18">
        <v>1</v>
      </c>
      <c r="I45" s="26">
        <f>3470*F45</f>
        <v>1735</v>
      </c>
      <c r="J45" s="27">
        <f>SUM(I45*10%)</f>
        <v>173.5</v>
      </c>
      <c r="K45" s="27"/>
      <c r="L45" s="27">
        <f t="shared" si="5"/>
        <v>2588.5</v>
      </c>
      <c r="M45" s="26">
        <f t="shared" si="0"/>
        <v>4497</v>
      </c>
      <c r="N45" s="28">
        <f>I45</f>
        <v>1735</v>
      </c>
      <c r="O45" s="29">
        <f t="shared" si="3"/>
        <v>55699</v>
      </c>
      <c r="P45" s="10"/>
    </row>
    <row r="46" spans="1:16" x14ac:dyDescent="0.3">
      <c r="A46" s="22">
        <v>10</v>
      </c>
      <c r="B46" s="102" t="s">
        <v>83</v>
      </c>
      <c r="C46" s="34">
        <v>4</v>
      </c>
      <c r="D46" s="110" t="s">
        <v>77</v>
      </c>
      <c r="E46" s="24" t="s">
        <v>18</v>
      </c>
      <c r="F46" s="25">
        <v>0.5</v>
      </c>
      <c r="G46" s="25">
        <v>0.5</v>
      </c>
      <c r="H46" s="18">
        <v>10</v>
      </c>
      <c r="I46" s="26">
        <f>6315*F46</f>
        <v>3157.5</v>
      </c>
      <c r="J46" s="27"/>
      <c r="K46" s="27"/>
      <c r="L46" s="27">
        <f t="shared" si="5"/>
        <v>1166</v>
      </c>
      <c r="M46" s="26">
        <f t="shared" si="0"/>
        <v>4323.5</v>
      </c>
      <c r="N46" s="164">
        <f t="shared" si="1"/>
        <v>3157.5</v>
      </c>
      <c r="O46" s="29">
        <f t="shared" si="3"/>
        <v>55039.5</v>
      </c>
      <c r="P46" s="10"/>
    </row>
    <row r="47" spans="1:16" x14ac:dyDescent="0.3">
      <c r="A47" s="22"/>
      <c r="B47" s="104" t="s">
        <v>76</v>
      </c>
      <c r="C47" s="35"/>
      <c r="D47" s="106" t="s">
        <v>71</v>
      </c>
      <c r="E47" s="24" t="s">
        <v>20</v>
      </c>
      <c r="F47" s="25">
        <v>0.5</v>
      </c>
      <c r="G47" s="25"/>
      <c r="H47" s="18">
        <v>8</v>
      </c>
      <c r="I47" s="26">
        <f>5691*F47</f>
        <v>2845.5</v>
      </c>
      <c r="J47" s="27"/>
      <c r="K47" s="27"/>
      <c r="L47" s="27">
        <f t="shared" si="5"/>
        <v>1478</v>
      </c>
      <c r="M47" s="26">
        <f t="shared" si="0"/>
        <v>4323.5</v>
      </c>
      <c r="N47" s="164">
        <f t="shared" si="1"/>
        <v>2845.5</v>
      </c>
      <c r="O47" s="29">
        <f t="shared" si="3"/>
        <v>54727.5</v>
      </c>
      <c r="P47" s="10"/>
    </row>
    <row r="48" spans="1:16" x14ac:dyDescent="0.3">
      <c r="A48" s="22"/>
      <c r="B48" s="104"/>
      <c r="C48" s="30"/>
      <c r="D48" s="105" t="s">
        <v>72</v>
      </c>
      <c r="E48" s="24">
        <v>9132</v>
      </c>
      <c r="F48" s="25">
        <v>0.5</v>
      </c>
      <c r="G48" s="25">
        <v>0.5</v>
      </c>
      <c r="H48" s="18">
        <v>1</v>
      </c>
      <c r="I48" s="26">
        <f>3470*F48</f>
        <v>1735</v>
      </c>
      <c r="J48" s="27">
        <f>SUM(I48*10%)</f>
        <v>173.5</v>
      </c>
      <c r="K48" s="27"/>
      <c r="L48" s="27">
        <f t="shared" si="5"/>
        <v>2588.5</v>
      </c>
      <c r="M48" s="26">
        <f t="shared" si="0"/>
        <v>4497</v>
      </c>
      <c r="N48" s="164">
        <f>I48</f>
        <v>1735</v>
      </c>
      <c r="O48" s="29">
        <f t="shared" si="3"/>
        <v>55699</v>
      </c>
      <c r="P48" s="10"/>
    </row>
    <row r="49" spans="1:16" x14ac:dyDescent="0.3">
      <c r="A49" s="22">
        <v>11</v>
      </c>
      <c r="B49" s="115" t="s">
        <v>84</v>
      </c>
      <c r="C49" s="111">
        <v>4</v>
      </c>
      <c r="D49" s="110" t="s">
        <v>77</v>
      </c>
      <c r="E49" s="24" t="s">
        <v>18</v>
      </c>
      <c r="F49" s="25">
        <v>0.5</v>
      </c>
      <c r="G49" s="25" t="s">
        <v>85</v>
      </c>
      <c r="H49" s="18">
        <v>10</v>
      </c>
      <c r="I49" s="26">
        <f>6315*F49</f>
        <v>3157.5</v>
      </c>
      <c r="J49" s="27"/>
      <c r="K49" s="27">
        <f>I49*30%</f>
        <v>947.25</v>
      </c>
      <c r="L49" s="27">
        <f t="shared" si="5"/>
        <v>218.75</v>
      </c>
      <c r="M49" s="26">
        <f t="shared" si="0"/>
        <v>4323.5</v>
      </c>
      <c r="N49" s="164">
        <f t="shared" si="1"/>
        <v>3157.5</v>
      </c>
      <c r="O49" s="29">
        <f t="shared" si="3"/>
        <v>55039.5</v>
      </c>
      <c r="P49" s="10"/>
    </row>
    <row r="50" spans="1:16" x14ac:dyDescent="0.3">
      <c r="A50" s="22">
        <v>12</v>
      </c>
      <c r="B50" s="102" t="s">
        <v>86</v>
      </c>
      <c r="C50" s="34">
        <v>4</v>
      </c>
      <c r="D50" s="103" t="s">
        <v>87</v>
      </c>
      <c r="E50" s="24" t="s">
        <v>18</v>
      </c>
      <c r="F50" s="25">
        <v>0.5</v>
      </c>
      <c r="G50" s="25">
        <v>0.5</v>
      </c>
      <c r="H50" s="18">
        <v>10</v>
      </c>
      <c r="I50" s="26">
        <f>6315*F50</f>
        <v>3157.5</v>
      </c>
      <c r="J50" s="27"/>
      <c r="K50" s="27">
        <f>I50*20%</f>
        <v>631.5</v>
      </c>
      <c r="L50" s="27">
        <f t="shared" si="5"/>
        <v>534.5</v>
      </c>
      <c r="M50" s="26">
        <f t="shared" si="0"/>
        <v>4323.5</v>
      </c>
      <c r="N50" s="164">
        <f t="shared" si="1"/>
        <v>3157.5</v>
      </c>
      <c r="O50" s="29">
        <f t="shared" si="3"/>
        <v>55039.5</v>
      </c>
      <c r="P50" s="10"/>
    </row>
    <row r="51" spans="1:16" x14ac:dyDescent="0.3">
      <c r="A51" s="22"/>
      <c r="B51" s="104" t="s">
        <v>76</v>
      </c>
      <c r="C51" s="30"/>
      <c r="D51" s="105" t="s">
        <v>68</v>
      </c>
      <c r="E51" s="24" t="s">
        <v>19</v>
      </c>
      <c r="F51" s="25">
        <v>0.5</v>
      </c>
      <c r="G51" s="25"/>
      <c r="H51" s="18">
        <v>9</v>
      </c>
      <c r="I51" s="26">
        <f>6003*F51</f>
        <v>3001.5</v>
      </c>
      <c r="J51" s="27"/>
      <c r="K51" s="27"/>
      <c r="L51" s="27">
        <f t="shared" si="5"/>
        <v>1322</v>
      </c>
      <c r="M51" s="26">
        <f t="shared" si="0"/>
        <v>4323.5</v>
      </c>
      <c r="N51" s="164">
        <f t="shared" si="1"/>
        <v>3001.5</v>
      </c>
      <c r="O51" s="29">
        <f t="shared" si="3"/>
        <v>54883.5</v>
      </c>
      <c r="P51" s="10"/>
    </row>
    <row r="52" spans="1:16" x14ac:dyDescent="0.3">
      <c r="A52" s="22"/>
      <c r="B52" s="104"/>
      <c r="C52" s="30"/>
      <c r="D52" s="106" t="s">
        <v>71</v>
      </c>
      <c r="E52" s="24" t="s">
        <v>20</v>
      </c>
      <c r="F52" s="25">
        <v>0.5</v>
      </c>
      <c r="G52" s="25"/>
      <c r="H52" s="18">
        <v>8</v>
      </c>
      <c r="I52" s="26">
        <f>5691*F52</f>
        <v>2845.5</v>
      </c>
      <c r="J52" s="27"/>
      <c r="K52" s="27"/>
      <c r="L52" s="27">
        <f t="shared" si="5"/>
        <v>1478</v>
      </c>
      <c r="M52" s="26">
        <f t="shared" si="0"/>
        <v>4323.5</v>
      </c>
      <c r="N52" s="164">
        <f t="shared" si="1"/>
        <v>2845.5</v>
      </c>
      <c r="O52" s="29">
        <f t="shared" si="3"/>
        <v>54727.5</v>
      </c>
      <c r="P52" s="10"/>
    </row>
    <row r="53" spans="1:16" x14ac:dyDescent="0.3">
      <c r="A53" s="22"/>
      <c r="B53" s="104"/>
      <c r="C53" s="31"/>
      <c r="D53" s="106" t="s">
        <v>72</v>
      </c>
      <c r="E53" s="24">
        <v>9132</v>
      </c>
      <c r="F53" s="25">
        <v>0.5</v>
      </c>
      <c r="G53" s="25">
        <v>0.5</v>
      </c>
      <c r="H53" s="18">
        <v>1</v>
      </c>
      <c r="I53" s="26">
        <f>3470*F53</f>
        <v>1735</v>
      </c>
      <c r="J53" s="27">
        <f>SUM(I53)*10%</f>
        <v>173.5</v>
      </c>
      <c r="K53" s="27"/>
      <c r="L53" s="27">
        <f t="shared" si="5"/>
        <v>2588.5</v>
      </c>
      <c r="M53" s="26">
        <f t="shared" si="0"/>
        <v>4497</v>
      </c>
      <c r="N53" s="164">
        <f>I53</f>
        <v>1735</v>
      </c>
      <c r="O53" s="29">
        <f t="shared" si="3"/>
        <v>55699</v>
      </c>
      <c r="P53" s="10"/>
    </row>
    <row r="54" spans="1:16" x14ac:dyDescent="0.3">
      <c r="A54" s="22"/>
      <c r="B54" s="108"/>
      <c r="C54" s="32"/>
      <c r="D54" s="106" t="s">
        <v>73</v>
      </c>
      <c r="E54" s="24">
        <v>9141</v>
      </c>
      <c r="F54" s="25">
        <v>0.5</v>
      </c>
      <c r="G54" s="25">
        <v>0.5</v>
      </c>
      <c r="H54" s="18">
        <v>1</v>
      </c>
      <c r="I54" s="26">
        <f>3470*F54</f>
        <v>1735</v>
      </c>
      <c r="J54" s="27"/>
      <c r="K54" s="27"/>
      <c r="L54" s="27">
        <f t="shared" si="5"/>
        <v>2588.5</v>
      </c>
      <c r="M54" s="26">
        <f t="shared" si="0"/>
        <v>4323.5</v>
      </c>
      <c r="N54" s="28"/>
      <c r="O54" s="29">
        <f>M54*6+N54</f>
        <v>25941</v>
      </c>
      <c r="P54" s="10"/>
    </row>
    <row r="55" spans="1:16" x14ac:dyDescent="0.3">
      <c r="A55" s="22">
        <v>13</v>
      </c>
      <c r="B55" s="102" t="s">
        <v>63</v>
      </c>
      <c r="C55" s="116">
        <v>4</v>
      </c>
      <c r="D55" s="110" t="s">
        <v>87</v>
      </c>
      <c r="E55" s="24" t="s">
        <v>18</v>
      </c>
      <c r="F55" s="25">
        <v>0.5</v>
      </c>
      <c r="G55" s="25">
        <v>0.5</v>
      </c>
      <c r="H55" s="18">
        <v>10</v>
      </c>
      <c r="I55" s="26">
        <f>6315*F55</f>
        <v>3157.5</v>
      </c>
      <c r="J55" s="27"/>
      <c r="K55" s="27"/>
      <c r="L55" s="27">
        <f t="shared" si="5"/>
        <v>1166</v>
      </c>
      <c r="M55" s="26">
        <f t="shared" si="0"/>
        <v>4323.5</v>
      </c>
      <c r="N55" s="164">
        <f t="shared" si="1"/>
        <v>3157.5</v>
      </c>
      <c r="O55" s="29">
        <f t="shared" ref="O55:O64" si="7">M55*12+N55</f>
        <v>55039.5</v>
      </c>
      <c r="P55" s="10"/>
    </row>
    <row r="56" spans="1:16" x14ac:dyDescent="0.3">
      <c r="A56" s="22"/>
      <c r="B56" s="36" t="s">
        <v>76</v>
      </c>
      <c r="C56" s="34"/>
      <c r="D56" s="106" t="s">
        <v>71</v>
      </c>
      <c r="E56" s="24" t="s">
        <v>20</v>
      </c>
      <c r="F56" s="25">
        <v>0.5</v>
      </c>
      <c r="G56" s="25"/>
      <c r="H56" s="18">
        <v>8</v>
      </c>
      <c r="I56" s="26">
        <f>5691*F56</f>
        <v>2845.5</v>
      </c>
      <c r="J56" s="27"/>
      <c r="K56" s="27"/>
      <c r="L56" s="27">
        <f t="shared" si="5"/>
        <v>1478</v>
      </c>
      <c r="M56" s="26">
        <f t="shared" si="0"/>
        <v>4323.5</v>
      </c>
      <c r="N56" s="164">
        <f t="shared" si="1"/>
        <v>2845.5</v>
      </c>
      <c r="O56" s="29">
        <f t="shared" si="7"/>
        <v>54727.5</v>
      </c>
      <c r="P56" s="10"/>
    </row>
    <row r="57" spans="1:16" x14ac:dyDescent="0.3">
      <c r="A57" s="22"/>
      <c r="B57" s="36"/>
      <c r="C57" s="34"/>
      <c r="D57" s="110" t="s">
        <v>72</v>
      </c>
      <c r="E57" s="24">
        <v>9132</v>
      </c>
      <c r="F57" s="25">
        <v>0.5</v>
      </c>
      <c r="G57" s="25">
        <v>0.5</v>
      </c>
      <c r="H57" s="18">
        <v>1</v>
      </c>
      <c r="I57" s="26">
        <f>3470*F57</f>
        <v>1735</v>
      </c>
      <c r="J57" s="27">
        <f>SUM(I57)*10%</f>
        <v>173.5</v>
      </c>
      <c r="K57" s="27"/>
      <c r="L57" s="27">
        <f t="shared" si="5"/>
        <v>2588.5</v>
      </c>
      <c r="M57" s="26">
        <f t="shared" si="0"/>
        <v>4497</v>
      </c>
      <c r="N57" s="164">
        <f>I57</f>
        <v>1735</v>
      </c>
      <c r="O57" s="29">
        <f t="shared" si="7"/>
        <v>55699</v>
      </c>
      <c r="P57" s="10"/>
    </row>
    <row r="58" spans="1:16" x14ac:dyDescent="0.3">
      <c r="A58" s="22">
        <v>14</v>
      </c>
      <c r="B58" s="115" t="s">
        <v>59</v>
      </c>
      <c r="C58" s="34">
        <v>3</v>
      </c>
      <c r="D58" s="110" t="s">
        <v>77</v>
      </c>
      <c r="E58" s="24" t="s">
        <v>18</v>
      </c>
      <c r="F58" s="25">
        <v>1</v>
      </c>
      <c r="G58" s="25">
        <v>1</v>
      </c>
      <c r="H58" s="18">
        <v>12</v>
      </c>
      <c r="I58" s="26">
        <v>7356</v>
      </c>
      <c r="J58" s="27"/>
      <c r="K58" s="27">
        <f>I58*20%</f>
        <v>1471.2</v>
      </c>
      <c r="L58" s="27"/>
      <c r="M58" s="26">
        <f t="shared" si="0"/>
        <v>8827.2000000000007</v>
      </c>
      <c r="N58" s="28">
        <f t="shared" si="1"/>
        <v>7356</v>
      </c>
      <c r="O58" s="29">
        <f t="shared" si="7"/>
        <v>113282.40000000001</v>
      </c>
      <c r="P58" s="10"/>
    </row>
    <row r="59" spans="1:16" x14ac:dyDescent="0.3">
      <c r="A59" s="22"/>
      <c r="B59" s="104" t="s">
        <v>67</v>
      </c>
      <c r="C59" s="30"/>
      <c r="D59" s="105" t="s">
        <v>68</v>
      </c>
      <c r="E59" s="24" t="s">
        <v>19</v>
      </c>
      <c r="F59" s="25">
        <v>1</v>
      </c>
      <c r="G59" s="25"/>
      <c r="H59" s="18">
        <v>12</v>
      </c>
      <c r="I59" s="26">
        <v>7356</v>
      </c>
      <c r="J59" s="27"/>
      <c r="K59" s="27"/>
      <c r="L59" s="27">
        <f t="shared" ref="L59:L64" si="8">8647*F59-I59-K59</f>
        <v>1291</v>
      </c>
      <c r="M59" s="26">
        <f t="shared" si="0"/>
        <v>8647</v>
      </c>
      <c r="N59" s="28">
        <f t="shared" si="1"/>
        <v>7356</v>
      </c>
      <c r="O59" s="29">
        <f t="shared" si="7"/>
        <v>111120</v>
      </c>
      <c r="P59" s="10"/>
    </row>
    <row r="60" spans="1:16" x14ac:dyDescent="0.3">
      <c r="A60" s="22"/>
      <c r="B60" s="104"/>
      <c r="C60" s="31"/>
      <c r="D60" s="106" t="s">
        <v>88</v>
      </c>
      <c r="E60" s="24" t="s">
        <v>20</v>
      </c>
      <c r="F60" s="25">
        <v>1</v>
      </c>
      <c r="G60" s="25">
        <v>1</v>
      </c>
      <c r="H60" s="18">
        <v>11</v>
      </c>
      <c r="I60" s="26">
        <v>6836</v>
      </c>
      <c r="J60" s="27"/>
      <c r="K60" s="27"/>
      <c r="L60" s="27">
        <f t="shared" si="8"/>
        <v>1811</v>
      </c>
      <c r="M60" s="26">
        <f t="shared" si="0"/>
        <v>8647</v>
      </c>
      <c r="N60" s="28">
        <f t="shared" si="1"/>
        <v>6836</v>
      </c>
      <c r="O60" s="29">
        <f t="shared" si="7"/>
        <v>110600</v>
      </c>
      <c r="P60" s="10"/>
    </row>
    <row r="61" spans="1:16" x14ac:dyDescent="0.3">
      <c r="A61" s="22"/>
      <c r="B61" s="107"/>
      <c r="C61" s="32"/>
      <c r="D61" s="106" t="s">
        <v>89</v>
      </c>
      <c r="E61" s="24">
        <v>9132</v>
      </c>
      <c r="F61" s="25">
        <v>1</v>
      </c>
      <c r="G61" s="25">
        <v>1</v>
      </c>
      <c r="H61" s="18">
        <v>1</v>
      </c>
      <c r="I61" s="26">
        <f>3470*F61</f>
        <v>3470</v>
      </c>
      <c r="J61" s="27">
        <f>SUM(I61*10%)</f>
        <v>347</v>
      </c>
      <c r="K61" s="27"/>
      <c r="L61" s="27">
        <f t="shared" si="8"/>
        <v>5177</v>
      </c>
      <c r="M61" s="26">
        <f t="shared" si="0"/>
        <v>8994</v>
      </c>
      <c r="N61" s="28">
        <f>I61</f>
        <v>3470</v>
      </c>
      <c r="O61" s="29">
        <f t="shared" si="7"/>
        <v>111398</v>
      </c>
      <c r="P61" s="10"/>
    </row>
    <row r="62" spans="1:16" x14ac:dyDescent="0.3">
      <c r="A62" s="22">
        <v>15</v>
      </c>
      <c r="B62" s="102" t="s">
        <v>90</v>
      </c>
      <c r="C62" s="33">
        <v>4</v>
      </c>
      <c r="D62" s="110" t="s">
        <v>87</v>
      </c>
      <c r="E62" s="24" t="s">
        <v>20</v>
      </c>
      <c r="F62" s="25">
        <v>1</v>
      </c>
      <c r="G62" s="25"/>
      <c r="H62" s="18">
        <v>10</v>
      </c>
      <c r="I62" s="26">
        <v>6315</v>
      </c>
      <c r="J62" s="27"/>
      <c r="K62" s="27"/>
      <c r="L62" s="27">
        <f t="shared" si="8"/>
        <v>2332</v>
      </c>
      <c r="M62" s="26">
        <f t="shared" si="0"/>
        <v>8647</v>
      </c>
      <c r="N62" s="28">
        <f t="shared" si="1"/>
        <v>6315</v>
      </c>
      <c r="O62" s="29">
        <f t="shared" si="7"/>
        <v>110079</v>
      </c>
      <c r="P62" s="10"/>
    </row>
    <row r="63" spans="1:16" x14ac:dyDescent="0.3">
      <c r="A63" s="22"/>
      <c r="B63" s="102"/>
      <c r="C63" s="34"/>
      <c r="D63" s="106" t="s">
        <v>71</v>
      </c>
      <c r="E63" s="24" t="s">
        <v>20</v>
      </c>
      <c r="F63" s="25">
        <v>0.5</v>
      </c>
      <c r="G63" s="25"/>
      <c r="H63" s="18">
        <v>8</v>
      </c>
      <c r="I63" s="26">
        <f>5691*F63</f>
        <v>2845.5</v>
      </c>
      <c r="J63" s="27"/>
      <c r="K63" s="27"/>
      <c r="L63" s="27">
        <f t="shared" si="8"/>
        <v>1478</v>
      </c>
      <c r="M63" s="26">
        <f t="shared" si="0"/>
        <v>4323.5</v>
      </c>
      <c r="N63" s="164">
        <f t="shared" si="1"/>
        <v>2845.5</v>
      </c>
      <c r="O63" s="29">
        <f t="shared" si="7"/>
        <v>54727.5</v>
      </c>
      <c r="P63" s="10"/>
    </row>
    <row r="64" spans="1:16" x14ac:dyDescent="0.3">
      <c r="A64" s="22"/>
      <c r="B64" s="102"/>
      <c r="C64" s="34"/>
      <c r="D64" s="110" t="s">
        <v>72</v>
      </c>
      <c r="E64" s="24">
        <v>9132</v>
      </c>
      <c r="F64" s="25">
        <v>0.5</v>
      </c>
      <c r="G64" s="25">
        <v>0.5</v>
      </c>
      <c r="H64" s="18">
        <v>1</v>
      </c>
      <c r="I64" s="26">
        <f>3470*F64</f>
        <v>1735</v>
      </c>
      <c r="J64" s="27">
        <f>SUM(I64*10%)</f>
        <v>173.5</v>
      </c>
      <c r="K64" s="27"/>
      <c r="L64" s="27">
        <f t="shared" si="8"/>
        <v>2588.5</v>
      </c>
      <c r="M64" s="26">
        <f t="shared" si="0"/>
        <v>4497</v>
      </c>
      <c r="N64" s="164">
        <f>I64</f>
        <v>1735</v>
      </c>
      <c r="O64" s="29">
        <f t="shared" si="7"/>
        <v>55699</v>
      </c>
      <c r="P64" s="10"/>
    </row>
    <row r="65" spans="1:17" x14ac:dyDescent="0.3">
      <c r="A65" s="22"/>
      <c r="B65" s="102"/>
      <c r="C65" s="34"/>
      <c r="D65" s="103" t="s">
        <v>102</v>
      </c>
      <c r="E65" s="24">
        <v>9141</v>
      </c>
      <c r="F65" s="25">
        <v>1</v>
      </c>
      <c r="G65" s="25">
        <v>1</v>
      </c>
      <c r="H65" s="18">
        <v>1</v>
      </c>
      <c r="I65" s="26">
        <v>3470</v>
      </c>
      <c r="J65" s="27"/>
      <c r="K65" s="27"/>
      <c r="L65" s="27">
        <v>5177</v>
      </c>
      <c r="M65" s="26">
        <v>8647</v>
      </c>
      <c r="N65" s="28"/>
      <c r="O65" s="29">
        <v>51882</v>
      </c>
      <c r="P65" s="10"/>
    </row>
    <row r="66" spans="1:17" x14ac:dyDescent="0.3">
      <c r="A66" s="22">
        <v>16</v>
      </c>
      <c r="B66" s="102" t="s">
        <v>91</v>
      </c>
      <c r="C66" s="34">
        <v>4</v>
      </c>
      <c r="D66" s="103" t="s">
        <v>92</v>
      </c>
      <c r="E66" s="24" t="s">
        <v>20</v>
      </c>
      <c r="F66" s="25">
        <v>0.5</v>
      </c>
      <c r="G66" s="25" t="s">
        <v>85</v>
      </c>
      <c r="H66" s="18">
        <v>10</v>
      </c>
      <c r="I66" s="26">
        <f>6315*F66</f>
        <v>3157.5</v>
      </c>
      <c r="J66" s="27"/>
      <c r="K66" s="27">
        <f>I66*30%</f>
        <v>947.25</v>
      </c>
      <c r="L66" s="27">
        <f>8647*F66-I66-K66</f>
        <v>218.75</v>
      </c>
      <c r="M66" s="26">
        <f t="shared" si="0"/>
        <v>4323.5</v>
      </c>
      <c r="N66" s="164">
        <f t="shared" si="1"/>
        <v>3157.5</v>
      </c>
      <c r="O66" s="29">
        <f>M66*12+N66</f>
        <v>55039.5</v>
      </c>
      <c r="P66" s="10"/>
    </row>
    <row r="67" spans="1:17" x14ac:dyDescent="0.3">
      <c r="A67" s="22"/>
      <c r="B67" s="102"/>
      <c r="C67" s="34"/>
      <c r="D67" s="106" t="s">
        <v>71</v>
      </c>
      <c r="E67" s="24" t="s">
        <v>20</v>
      </c>
      <c r="F67" s="25">
        <v>0.5</v>
      </c>
      <c r="G67" s="25"/>
      <c r="H67" s="18">
        <v>8</v>
      </c>
      <c r="I67" s="26">
        <f>5691*F67</f>
        <v>2845.5</v>
      </c>
      <c r="J67" s="27"/>
      <c r="K67" s="27"/>
      <c r="L67" s="27">
        <f>8647*F67-I67-K67</f>
        <v>1478</v>
      </c>
      <c r="M67" s="26">
        <f t="shared" si="0"/>
        <v>4323.5</v>
      </c>
      <c r="N67" s="164">
        <f t="shared" si="1"/>
        <v>2845.5</v>
      </c>
      <c r="O67" s="29">
        <f>M67*12+N67</f>
        <v>54727.5</v>
      </c>
      <c r="P67" s="10"/>
    </row>
    <row r="68" spans="1:17" x14ac:dyDescent="0.3">
      <c r="A68" s="22"/>
      <c r="B68" s="102"/>
      <c r="C68" s="34"/>
      <c r="D68" s="110" t="s">
        <v>72</v>
      </c>
      <c r="E68" s="24">
        <v>9132</v>
      </c>
      <c r="F68" s="25">
        <v>0.5</v>
      </c>
      <c r="G68" s="25">
        <v>0.5</v>
      </c>
      <c r="H68" s="18">
        <v>1</v>
      </c>
      <c r="I68" s="26">
        <f>3470*F68</f>
        <v>1735</v>
      </c>
      <c r="J68" s="27">
        <f>SUM(I68*10%)</f>
        <v>173.5</v>
      </c>
      <c r="K68" s="27"/>
      <c r="L68" s="27">
        <f>8647*F68-I68-K68</f>
        <v>2588.5</v>
      </c>
      <c r="M68" s="26">
        <f t="shared" si="0"/>
        <v>4497</v>
      </c>
      <c r="N68" s="164">
        <f>I68</f>
        <v>1735</v>
      </c>
      <c r="O68" s="29">
        <f>M68*12+N68</f>
        <v>55699</v>
      </c>
      <c r="P68" s="10"/>
    </row>
    <row r="69" spans="1:17" x14ac:dyDescent="0.3">
      <c r="A69" s="37"/>
      <c r="B69" s="38"/>
      <c r="C69" s="39"/>
      <c r="D69" s="40" t="s">
        <v>21</v>
      </c>
      <c r="E69" s="41"/>
      <c r="F69" s="41">
        <f>SUM(F12:F68)</f>
        <v>35.5</v>
      </c>
      <c r="G69" s="41"/>
      <c r="H69" s="42"/>
      <c r="I69" s="43">
        <f>SUM(I12:I68)</f>
        <v>184462.5</v>
      </c>
      <c r="J69" s="43">
        <f>SUM(J12:J68)</f>
        <v>2949.5</v>
      </c>
      <c r="K69" s="43">
        <f>SUM(K13:K68)</f>
        <v>7258.9</v>
      </c>
      <c r="L69" s="43">
        <f>SUM(L12:L68)</f>
        <v>110927.3</v>
      </c>
      <c r="M69" s="26">
        <f>SUM(M12:M68)</f>
        <v>305598.2</v>
      </c>
      <c r="N69" s="43">
        <f>SUM(N12:N68)</f>
        <v>180548.5</v>
      </c>
      <c r="O69" s="43">
        <f>SUM(O12:O68)</f>
        <v>3562375.9</v>
      </c>
      <c r="P69" s="10"/>
    </row>
    <row r="70" spans="1:17" x14ac:dyDescent="0.3">
      <c r="A70" s="1"/>
      <c r="B70" s="10"/>
      <c r="C70" s="10"/>
      <c r="D70" s="11"/>
      <c r="E70" s="44"/>
      <c r="F70" s="44"/>
      <c r="G70" s="45"/>
      <c r="H70" s="45"/>
      <c r="I70" s="46"/>
      <c r="J70" s="47"/>
      <c r="K70" s="46"/>
      <c r="L70" s="46"/>
      <c r="M70" s="46"/>
      <c r="N70" s="46"/>
      <c r="O70" s="46"/>
      <c r="P70" s="46"/>
      <c r="Q70" s="10"/>
    </row>
    <row r="71" spans="1:17" x14ac:dyDescent="0.3">
      <c r="A71" s="1"/>
      <c r="B71" s="174"/>
      <c r="C71" s="174"/>
      <c r="D71" s="174"/>
      <c r="E71" s="174"/>
      <c r="F71" s="174"/>
      <c r="G71" s="174"/>
      <c r="H71" s="174"/>
      <c r="I71" s="174"/>
      <c r="J71" s="174"/>
      <c r="K71" s="10"/>
      <c r="L71" s="10"/>
      <c r="M71" s="169"/>
      <c r="N71" s="169"/>
      <c r="O71" s="169"/>
      <c r="P71" s="169"/>
      <c r="Q71" s="20"/>
    </row>
    <row r="72" spans="1:17" x14ac:dyDescent="0.3">
      <c r="A72" s="1"/>
      <c r="B72" s="12" t="s">
        <v>22</v>
      </c>
      <c r="C72" s="12"/>
      <c r="D72" s="11"/>
      <c r="E72" s="12"/>
      <c r="F72" s="12"/>
      <c r="G72" s="48"/>
      <c r="H72" s="48"/>
      <c r="I72" s="12"/>
      <c r="J72" s="12"/>
      <c r="K72" s="10"/>
      <c r="L72" s="10"/>
      <c r="M72" s="188"/>
      <c r="N72" s="188"/>
      <c r="O72" s="188"/>
      <c r="P72" s="188"/>
      <c r="Q72" s="49"/>
    </row>
    <row r="73" spans="1:17" x14ac:dyDescent="0.3">
      <c r="A73" s="174" t="s">
        <v>135</v>
      </c>
      <c r="B73" s="174"/>
      <c r="C73" s="174"/>
      <c r="D73" s="174"/>
      <c r="E73" s="174"/>
      <c r="F73" s="174"/>
      <c r="G73" s="174"/>
      <c r="H73" s="174"/>
      <c r="I73" s="174"/>
      <c r="J73" s="174"/>
      <c r="K73" s="50"/>
      <c r="L73" s="1" t="s">
        <v>137</v>
      </c>
      <c r="M73" s="1"/>
      <c r="N73" s="1"/>
      <c r="O73" s="1"/>
      <c r="P73" s="1"/>
      <c r="Q73" s="20"/>
    </row>
    <row r="74" spans="1:17" x14ac:dyDescent="0.3">
      <c r="A74" s="1"/>
      <c r="B74" s="12" t="s">
        <v>22</v>
      </c>
      <c r="C74" s="12"/>
      <c r="D74" s="11"/>
      <c r="E74" s="12"/>
      <c r="F74" s="12"/>
      <c r="G74" s="48"/>
      <c r="H74" s="48"/>
      <c r="I74" s="12"/>
      <c r="J74" s="12"/>
      <c r="K74" s="10"/>
      <c r="L74" s="10"/>
      <c r="M74" s="169"/>
      <c r="N74" s="169"/>
      <c r="O74" s="169"/>
      <c r="P74" s="169"/>
      <c r="Q74" s="49"/>
    </row>
    <row r="75" spans="1:17" x14ac:dyDescent="0.3">
      <c r="A75" s="1"/>
      <c r="B75" s="10" t="s">
        <v>23</v>
      </c>
      <c r="C75" s="10"/>
      <c r="D75" s="10"/>
      <c r="E75" s="10"/>
      <c r="F75" s="10"/>
      <c r="G75" s="10"/>
      <c r="H75" s="10"/>
      <c r="I75" s="10"/>
      <c r="J75" s="10"/>
      <c r="K75" s="10"/>
      <c r="L75" s="1"/>
      <c r="M75" s="188"/>
      <c r="N75" s="188"/>
      <c r="O75" s="188"/>
      <c r="P75" s="188"/>
      <c r="Q75" s="10"/>
    </row>
    <row r="76" spans="1:17" x14ac:dyDescent="0.3">
      <c r="A76" s="1"/>
      <c r="B76" s="10" t="s">
        <v>24</v>
      </c>
      <c r="C76" s="10"/>
      <c r="D76" s="10"/>
      <c r="E76" s="10"/>
      <c r="F76" s="10"/>
      <c r="G76" s="10"/>
      <c r="H76" s="10"/>
      <c r="I76" s="10"/>
      <c r="J76" s="10"/>
      <c r="K76" s="10"/>
      <c r="L76" s="1"/>
      <c r="M76" s="10"/>
      <c r="N76" s="10"/>
      <c r="O76" s="10"/>
      <c r="P76" s="10"/>
      <c r="Q76" s="10"/>
    </row>
  </sheetData>
  <mergeCells count="18">
    <mergeCell ref="M75:P75"/>
    <mergeCell ref="I7:O7"/>
    <mergeCell ref="A8:P8"/>
    <mergeCell ref="A9:I9"/>
    <mergeCell ref="M9:O9"/>
    <mergeCell ref="A10:M10"/>
    <mergeCell ref="N10:P10"/>
    <mergeCell ref="B71:J71"/>
    <mergeCell ref="M71:P71"/>
    <mergeCell ref="M72:P72"/>
    <mergeCell ref="A73:J73"/>
    <mergeCell ref="M74:P74"/>
    <mergeCell ref="I6:O6"/>
    <mergeCell ref="M1:O1"/>
    <mergeCell ref="K2:L2"/>
    <mergeCell ref="N2:O2"/>
    <mergeCell ref="K3:O3"/>
    <mergeCell ref="I5:O5"/>
  </mergeCells>
  <pageMargins left="0.7" right="0.7" top="0.75" bottom="0.75" header="0.3" footer="0.3"/>
  <pageSetup paperSize="9" scale="9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Адмін</vt:lpstr>
      <vt:lpstr>бібліотеки</vt:lpstr>
      <vt:lpstr>Буд. Культ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2026-01-23T10:45:23Z</cp:lastPrinted>
  <dcterms:created xsi:type="dcterms:W3CDTF">2015-06-05T18:19:34Z</dcterms:created>
  <dcterms:modified xsi:type="dcterms:W3CDTF">2026-01-23T10:46:19Z</dcterms:modified>
</cp:coreProperties>
</file>