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CD21F8F-F28D-4A90-9343-CE6C7B01FB0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.08.2026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36" i="1" l="1"/>
  <c r="E236" i="1"/>
  <c r="E234" i="1"/>
  <c r="Q239" i="1"/>
  <c r="C239" i="1"/>
  <c r="Q238" i="1"/>
  <c r="C238" i="1"/>
  <c r="Q237" i="1"/>
  <c r="C237" i="1"/>
  <c r="Q236" i="1"/>
  <c r="Q240" i="1" s="1"/>
  <c r="C236" i="1"/>
  <c r="C240" i="1" s="1"/>
  <c r="F233" i="1"/>
  <c r="C233" i="1"/>
  <c r="P232" i="1"/>
  <c r="P233" i="1" s="1"/>
  <c r="E232" i="1"/>
  <c r="G232" i="1" s="1"/>
  <c r="I232" i="1" s="1"/>
  <c r="I233" i="1" s="1"/>
  <c r="E231" i="1"/>
  <c r="G231" i="1" s="1"/>
  <c r="F229" i="1"/>
  <c r="E229" i="1"/>
  <c r="G229" i="1" s="1"/>
  <c r="C229" i="1"/>
  <c r="E228" i="1"/>
  <c r="G228" i="1" s="1"/>
  <c r="F226" i="1"/>
  <c r="E226" i="1"/>
  <c r="G226" i="1" s="1"/>
  <c r="C226" i="1"/>
  <c r="E225" i="1"/>
  <c r="G225" i="1" s="1"/>
  <c r="S224" i="1"/>
  <c r="E224" i="1"/>
  <c r="G224" i="1" s="1"/>
  <c r="K224" i="1" s="1"/>
  <c r="F222" i="1"/>
  <c r="E222" i="1"/>
  <c r="G222" i="1" s="1"/>
  <c r="C222" i="1"/>
  <c r="E221" i="1"/>
  <c r="G221" i="1" s="1"/>
  <c r="P221" i="1" s="1"/>
  <c r="R221" i="1" s="1"/>
  <c r="S221" i="1" s="1"/>
  <c r="G220" i="1"/>
  <c r="E220" i="1"/>
  <c r="E219" i="1"/>
  <c r="G219" i="1" s="1"/>
  <c r="S218" i="1"/>
  <c r="E218" i="1"/>
  <c r="G218" i="1" s="1"/>
  <c r="K218" i="1" s="1"/>
  <c r="F216" i="1"/>
  <c r="C216" i="1"/>
  <c r="E215" i="1"/>
  <c r="G215" i="1" s="1"/>
  <c r="P215" i="1" s="1"/>
  <c r="I214" i="1"/>
  <c r="I216" i="1" s="1"/>
  <c r="G214" i="1"/>
  <c r="E214" i="1"/>
  <c r="E213" i="1"/>
  <c r="L211" i="1"/>
  <c r="K211" i="1"/>
  <c r="F211" i="1"/>
  <c r="C211" i="1"/>
  <c r="E210" i="1"/>
  <c r="G210" i="1" s="1"/>
  <c r="I210" i="1" s="1"/>
  <c r="I211" i="1" s="1"/>
  <c r="S209" i="1"/>
  <c r="G209" i="1"/>
  <c r="K209" i="1" s="1"/>
  <c r="L209" i="1" s="1"/>
  <c r="E209" i="1"/>
  <c r="F207" i="1"/>
  <c r="C207" i="1"/>
  <c r="S206" i="1"/>
  <c r="R206" i="1"/>
  <c r="E206" i="1"/>
  <c r="G206" i="1" s="1"/>
  <c r="P206" i="1" s="1"/>
  <c r="G205" i="1"/>
  <c r="E205" i="1"/>
  <c r="E204" i="1"/>
  <c r="K202" i="1"/>
  <c r="F202" i="1"/>
  <c r="C202" i="1"/>
  <c r="P201" i="1"/>
  <c r="R201" i="1" s="1"/>
  <c r="S201" i="1" s="1"/>
  <c r="E201" i="1"/>
  <c r="G201" i="1" s="1"/>
  <c r="G200" i="1"/>
  <c r="E200" i="1"/>
  <c r="E202" i="1" s="1"/>
  <c r="K199" i="1"/>
  <c r="E199" i="1"/>
  <c r="G199" i="1" s="1"/>
  <c r="C197" i="1"/>
  <c r="E196" i="1"/>
  <c r="E195" i="1"/>
  <c r="G195" i="1" s="1"/>
  <c r="E194" i="1"/>
  <c r="C192" i="1"/>
  <c r="E191" i="1"/>
  <c r="G191" i="1" s="1"/>
  <c r="P191" i="1" s="1"/>
  <c r="R191" i="1" s="1"/>
  <c r="S191" i="1" s="1"/>
  <c r="E190" i="1"/>
  <c r="E192" i="1" s="1"/>
  <c r="G192" i="1" s="1"/>
  <c r="S189" i="1"/>
  <c r="K189" i="1"/>
  <c r="G189" i="1"/>
  <c r="E189" i="1"/>
  <c r="M186" i="1"/>
  <c r="I186" i="1"/>
  <c r="C186" i="1"/>
  <c r="P185" i="1"/>
  <c r="P186" i="1" s="1"/>
  <c r="I185" i="1"/>
  <c r="E185" i="1"/>
  <c r="G185" i="1" s="1"/>
  <c r="G184" i="1"/>
  <c r="E184" i="1"/>
  <c r="E186" i="1" s="1"/>
  <c r="G183" i="1"/>
  <c r="E183" i="1"/>
  <c r="F183" i="1" s="1"/>
  <c r="F186" i="1" s="1"/>
  <c r="O181" i="1"/>
  <c r="E181" i="1"/>
  <c r="C181" i="1"/>
  <c r="E180" i="1"/>
  <c r="G180" i="1" s="1"/>
  <c r="E179" i="1"/>
  <c r="G179" i="1" s="1"/>
  <c r="L178" i="1"/>
  <c r="K178" i="1"/>
  <c r="E178" i="1"/>
  <c r="G178" i="1" s="1"/>
  <c r="G177" i="1"/>
  <c r="E177" i="1"/>
  <c r="K176" i="1"/>
  <c r="L176" i="1" s="1"/>
  <c r="E176" i="1"/>
  <c r="G176" i="1" s="1"/>
  <c r="G175" i="1"/>
  <c r="E175" i="1"/>
  <c r="E174" i="1"/>
  <c r="O172" i="1"/>
  <c r="C172" i="1"/>
  <c r="R171" i="1"/>
  <c r="S171" i="1" s="1"/>
  <c r="E171" i="1"/>
  <c r="G171" i="1" s="1"/>
  <c r="P171" i="1" s="1"/>
  <c r="G170" i="1"/>
  <c r="E170" i="1"/>
  <c r="E169" i="1"/>
  <c r="G169" i="1" s="1"/>
  <c r="G168" i="1"/>
  <c r="E168" i="1"/>
  <c r="E167" i="1"/>
  <c r="O165" i="1"/>
  <c r="M165" i="1"/>
  <c r="C165" i="1"/>
  <c r="P164" i="1"/>
  <c r="G164" i="1"/>
  <c r="E164" i="1"/>
  <c r="E163" i="1"/>
  <c r="G163" i="1" s="1"/>
  <c r="G162" i="1"/>
  <c r="E162" i="1"/>
  <c r="E161" i="1"/>
  <c r="G160" i="1"/>
  <c r="F160" i="1"/>
  <c r="F165" i="1" s="1"/>
  <c r="E160" i="1"/>
  <c r="O158" i="1"/>
  <c r="M158" i="1"/>
  <c r="C158" i="1"/>
  <c r="G157" i="1"/>
  <c r="E157" i="1"/>
  <c r="K156" i="1"/>
  <c r="L156" i="1" s="1"/>
  <c r="G156" i="1"/>
  <c r="R156" i="1" s="1"/>
  <c r="S156" i="1" s="1"/>
  <c r="E156" i="1"/>
  <c r="G155" i="1"/>
  <c r="E155" i="1"/>
  <c r="E154" i="1"/>
  <c r="F152" i="1"/>
  <c r="C152" i="1"/>
  <c r="P151" i="1"/>
  <c r="R151" i="1" s="1"/>
  <c r="S151" i="1" s="1"/>
  <c r="G151" i="1"/>
  <c r="E151" i="1"/>
  <c r="E150" i="1"/>
  <c r="G150" i="1" s="1"/>
  <c r="G149" i="1"/>
  <c r="E149" i="1"/>
  <c r="E148" i="1"/>
  <c r="G148" i="1" s="1"/>
  <c r="G147" i="1"/>
  <c r="F147" i="1"/>
  <c r="E147" i="1"/>
  <c r="C145" i="1"/>
  <c r="N144" i="1"/>
  <c r="G144" i="1"/>
  <c r="P144" i="1" s="1"/>
  <c r="P145" i="1" s="1"/>
  <c r="E144" i="1"/>
  <c r="N143" i="1"/>
  <c r="G143" i="1"/>
  <c r="E143" i="1"/>
  <c r="E145" i="1" s="1"/>
  <c r="P141" i="1"/>
  <c r="O141" i="1"/>
  <c r="M141" i="1"/>
  <c r="E141" i="1"/>
  <c r="C141" i="1"/>
  <c r="P140" i="1"/>
  <c r="I140" i="1"/>
  <c r="G140" i="1"/>
  <c r="R140" i="1" s="1"/>
  <c r="S140" i="1" s="1"/>
  <c r="E140" i="1"/>
  <c r="E139" i="1"/>
  <c r="G139" i="1" s="1"/>
  <c r="K138" i="1"/>
  <c r="L138" i="1" s="1"/>
  <c r="G138" i="1"/>
  <c r="E138" i="1"/>
  <c r="G137" i="1"/>
  <c r="E137" i="1"/>
  <c r="E136" i="1"/>
  <c r="G136" i="1" s="1"/>
  <c r="G135" i="1"/>
  <c r="E135" i="1"/>
  <c r="E134" i="1"/>
  <c r="G134" i="1" s="1"/>
  <c r="G131" i="1"/>
  <c r="F131" i="1"/>
  <c r="E131" i="1"/>
  <c r="F130" i="1"/>
  <c r="E130" i="1"/>
  <c r="C128" i="1"/>
  <c r="N127" i="1"/>
  <c r="E127" i="1"/>
  <c r="N126" i="1"/>
  <c r="N128" i="1" s="1"/>
  <c r="F126" i="1"/>
  <c r="G126" i="1" s="1"/>
  <c r="E126" i="1"/>
  <c r="E125" i="1"/>
  <c r="E124" i="1"/>
  <c r="E122" i="1"/>
  <c r="I121" i="1"/>
  <c r="G121" i="1"/>
  <c r="E121" i="1"/>
  <c r="F121" i="1" s="1"/>
  <c r="E120" i="1"/>
  <c r="C118" i="1"/>
  <c r="I117" i="1"/>
  <c r="G117" i="1"/>
  <c r="E117" i="1"/>
  <c r="F117" i="1" s="1"/>
  <c r="E116" i="1"/>
  <c r="F116" i="1" s="1"/>
  <c r="G116" i="1" s="1"/>
  <c r="F115" i="1"/>
  <c r="G115" i="1" s="1"/>
  <c r="E115" i="1"/>
  <c r="F114" i="1"/>
  <c r="E114" i="1"/>
  <c r="C112" i="1"/>
  <c r="I111" i="1"/>
  <c r="G111" i="1"/>
  <c r="E111" i="1"/>
  <c r="P110" i="1"/>
  <c r="E110" i="1"/>
  <c r="G110" i="1" s="1"/>
  <c r="G109" i="1"/>
  <c r="F109" i="1"/>
  <c r="E109" i="1"/>
  <c r="G108" i="1"/>
  <c r="E108" i="1"/>
  <c r="K107" i="1"/>
  <c r="L107" i="1" s="1"/>
  <c r="E107" i="1"/>
  <c r="G107" i="1" s="1"/>
  <c r="I106" i="1"/>
  <c r="G106" i="1"/>
  <c r="E106" i="1"/>
  <c r="F105" i="1"/>
  <c r="E105" i="1"/>
  <c r="K104" i="1"/>
  <c r="L104" i="1" s="1"/>
  <c r="E104" i="1"/>
  <c r="G104" i="1" s="1"/>
  <c r="G103" i="1"/>
  <c r="E103" i="1"/>
  <c r="E102" i="1"/>
  <c r="G102" i="1" s="1"/>
  <c r="E101" i="1"/>
  <c r="G101" i="1" s="1"/>
  <c r="E100" i="1"/>
  <c r="G100" i="1" s="1"/>
  <c r="E99" i="1"/>
  <c r="G99" i="1" s="1"/>
  <c r="L98" i="1"/>
  <c r="K98" i="1"/>
  <c r="E98" i="1"/>
  <c r="G98" i="1" s="1"/>
  <c r="G97" i="1"/>
  <c r="E97" i="1"/>
  <c r="K96" i="1"/>
  <c r="L96" i="1" s="1"/>
  <c r="E96" i="1"/>
  <c r="G96" i="1" s="1"/>
  <c r="G95" i="1"/>
  <c r="E95" i="1"/>
  <c r="E94" i="1"/>
  <c r="G94" i="1" s="1"/>
  <c r="E93" i="1"/>
  <c r="G93" i="1" s="1"/>
  <c r="E92" i="1"/>
  <c r="G92" i="1" s="1"/>
  <c r="E91" i="1"/>
  <c r="G91" i="1" s="1"/>
  <c r="E90" i="1"/>
  <c r="K89" i="1"/>
  <c r="G89" i="1"/>
  <c r="E89" i="1"/>
  <c r="F89" i="1" s="1"/>
  <c r="G88" i="1"/>
  <c r="E88" i="1"/>
  <c r="K87" i="1"/>
  <c r="L87" i="1" s="1"/>
  <c r="E87" i="1"/>
  <c r="G87" i="1" s="1"/>
  <c r="G86" i="1"/>
  <c r="E86" i="1"/>
  <c r="E85" i="1"/>
  <c r="G84" i="1"/>
  <c r="E84" i="1"/>
  <c r="E83" i="1"/>
  <c r="C81" i="1"/>
  <c r="E80" i="1"/>
  <c r="G80" i="1" s="1"/>
  <c r="P79" i="1"/>
  <c r="G79" i="1"/>
  <c r="E79" i="1"/>
  <c r="N78" i="1"/>
  <c r="E78" i="1"/>
  <c r="E77" i="1"/>
  <c r="G77" i="1" s="1"/>
  <c r="N76" i="1"/>
  <c r="E76" i="1"/>
  <c r="G76" i="1" s="1"/>
  <c r="F75" i="1"/>
  <c r="G75" i="1" s="1"/>
  <c r="E75" i="1"/>
  <c r="N74" i="1"/>
  <c r="E74" i="1"/>
  <c r="G74" i="1" s="1"/>
  <c r="E73" i="1"/>
  <c r="G73" i="1" s="1"/>
  <c r="E72" i="1"/>
  <c r="G72" i="1" s="1"/>
  <c r="L71" i="1"/>
  <c r="K71" i="1"/>
  <c r="E71" i="1"/>
  <c r="G71" i="1" s="1"/>
  <c r="G70" i="1"/>
  <c r="E70" i="1"/>
  <c r="N69" i="1"/>
  <c r="N81" i="1" s="1"/>
  <c r="E69" i="1"/>
  <c r="G69" i="1" s="1"/>
  <c r="G68" i="1"/>
  <c r="E68" i="1"/>
  <c r="E67" i="1"/>
  <c r="G67" i="1" s="1"/>
  <c r="G66" i="1"/>
  <c r="E66" i="1"/>
  <c r="E65" i="1"/>
  <c r="G65" i="1" s="1"/>
  <c r="K65" i="1" s="1"/>
  <c r="E64" i="1"/>
  <c r="F64" i="1" s="1"/>
  <c r="F81" i="1" s="1"/>
  <c r="Q61" i="1"/>
  <c r="Q234" i="1" s="1"/>
  <c r="E60" i="1"/>
  <c r="G60" i="1" s="1"/>
  <c r="E59" i="1"/>
  <c r="E58" i="1"/>
  <c r="F58" i="1" s="1"/>
  <c r="G58" i="1" s="1"/>
  <c r="F57" i="1"/>
  <c r="E57" i="1"/>
  <c r="C55" i="1"/>
  <c r="G54" i="1"/>
  <c r="E54" i="1"/>
  <c r="G53" i="1"/>
  <c r="E53" i="1"/>
  <c r="E52" i="1"/>
  <c r="G52" i="1" s="1"/>
  <c r="S51" i="1"/>
  <c r="R51" i="1"/>
  <c r="E51" i="1"/>
  <c r="G51" i="1" s="1"/>
  <c r="O51" i="1" s="1"/>
  <c r="O55" i="1" s="1"/>
  <c r="K50" i="1"/>
  <c r="G50" i="1"/>
  <c r="E50" i="1"/>
  <c r="L49" i="1"/>
  <c r="R49" i="1" s="1"/>
  <c r="S49" i="1" s="1"/>
  <c r="E49" i="1"/>
  <c r="G49" i="1" s="1"/>
  <c r="G48" i="1"/>
  <c r="E48" i="1"/>
  <c r="E46" i="1"/>
  <c r="C46" i="1"/>
  <c r="E45" i="1"/>
  <c r="G45" i="1" s="1"/>
  <c r="E44" i="1"/>
  <c r="G44" i="1" s="1"/>
  <c r="P43" i="1"/>
  <c r="G43" i="1"/>
  <c r="E43" i="1"/>
  <c r="C41" i="1"/>
  <c r="E40" i="1"/>
  <c r="E41" i="1" s="1"/>
  <c r="G41" i="1" s="1"/>
  <c r="I38" i="1"/>
  <c r="C38" i="1"/>
  <c r="E37" i="1"/>
  <c r="G37" i="1" s="1"/>
  <c r="E36" i="1"/>
  <c r="G36" i="1" s="1"/>
  <c r="E35" i="1"/>
  <c r="E34" i="1"/>
  <c r="G34" i="1" s="1"/>
  <c r="E33" i="1"/>
  <c r="G33" i="1" s="1"/>
  <c r="G32" i="1"/>
  <c r="E32" i="1"/>
  <c r="E31" i="1"/>
  <c r="E30" i="1"/>
  <c r="G30" i="1" s="1"/>
  <c r="E29" i="1"/>
  <c r="M27" i="1"/>
  <c r="M234" i="1" s="1"/>
  <c r="C27" i="1"/>
  <c r="E26" i="1"/>
  <c r="G26" i="1" s="1"/>
  <c r="G25" i="1"/>
  <c r="O24" i="1"/>
  <c r="H24" i="1"/>
  <c r="R24" i="1" s="1"/>
  <c r="S24" i="1" s="1"/>
  <c r="G24" i="1"/>
  <c r="O23" i="1"/>
  <c r="G23" i="1"/>
  <c r="E23" i="1"/>
  <c r="O22" i="1"/>
  <c r="H22" i="1"/>
  <c r="G22" i="1"/>
  <c r="O21" i="1"/>
  <c r="H21" i="1"/>
  <c r="G21" i="1"/>
  <c r="O20" i="1"/>
  <c r="R20" i="1" s="1"/>
  <c r="S20" i="1" s="1"/>
  <c r="G20" i="1"/>
  <c r="H20" i="1" s="1"/>
  <c r="R19" i="1"/>
  <c r="S19" i="1" s="1"/>
  <c r="H19" i="1"/>
  <c r="G19" i="1"/>
  <c r="E19" i="1"/>
  <c r="O19" i="1" s="1"/>
  <c r="E18" i="1"/>
  <c r="G18" i="1" s="1"/>
  <c r="O18" i="1" s="1"/>
  <c r="K17" i="1"/>
  <c r="H17" i="1"/>
  <c r="G17" i="1"/>
  <c r="O17" i="1" s="1"/>
  <c r="R16" i="1"/>
  <c r="S16" i="1" s="1"/>
  <c r="G16" i="1"/>
  <c r="E16" i="1"/>
  <c r="R15" i="1"/>
  <c r="S15" i="1" s="1"/>
  <c r="G15" i="1"/>
  <c r="E15" i="1"/>
  <c r="O14" i="1"/>
  <c r="H26" i="1" l="1"/>
  <c r="R26" i="1"/>
  <c r="S26" i="1" s="1"/>
  <c r="O26" i="1"/>
  <c r="R33" i="1"/>
  <c r="S33" i="1" s="1"/>
  <c r="P33" i="1"/>
  <c r="P36" i="1"/>
  <c r="R36" i="1" s="1"/>
  <c r="S36" i="1" s="1"/>
  <c r="P45" i="1"/>
  <c r="I45" i="1"/>
  <c r="I46" i="1" s="1"/>
  <c r="R80" i="1"/>
  <c r="S80" i="1" s="1"/>
  <c r="P80" i="1"/>
  <c r="L86" i="1"/>
  <c r="R86" i="1" s="1"/>
  <c r="S86" i="1" s="1"/>
  <c r="K86" i="1"/>
  <c r="K103" i="1"/>
  <c r="K109" i="1"/>
  <c r="F141" i="1"/>
  <c r="G130" i="1"/>
  <c r="P157" i="1"/>
  <c r="P158" i="1" s="1"/>
  <c r="I157" i="1"/>
  <c r="I158" i="1" s="1"/>
  <c r="R14" i="1"/>
  <c r="R18" i="1"/>
  <c r="S18" i="1" s="1"/>
  <c r="H23" i="1"/>
  <c r="R23" i="1"/>
  <c r="S23" i="1" s="1"/>
  <c r="G31" i="1"/>
  <c r="P31" i="1"/>
  <c r="P34" i="1"/>
  <c r="R34" i="1"/>
  <c r="S34" i="1" s="1"/>
  <c r="L54" i="1"/>
  <c r="R54" i="1" s="1"/>
  <c r="S54" i="1" s="1"/>
  <c r="K54" i="1"/>
  <c r="K68" i="1"/>
  <c r="K75" i="1"/>
  <c r="R75" i="1" s="1"/>
  <c r="S75" i="1" s="1"/>
  <c r="K95" i="1"/>
  <c r="L101" i="1"/>
  <c r="K101" i="1"/>
  <c r="R101" i="1"/>
  <c r="S101" i="1" s="1"/>
  <c r="F118" i="1"/>
  <c r="G114" i="1"/>
  <c r="K116" i="1"/>
  <c r="I116" i="1"/>
  <c r="L116" i="1" s="1"/>
  <c r="L137" i="1"/>
  <c r="K137" i="1"/>
  <c r="R137" i="1"/>
  <c r="S137" i="1" s="1"/>
  <c r="I137" i="1"/>
  <c r="I141" i="1" s="1"/>
  <c r="L139" i="1"/>
  <c r="K139" i="1"/>
  <c r="R139" i="1"/>
  <c r="S139" i="1" s="1"/>
  <c r="L183" i="1"/>
  <c r="P205" i="1"/>
  <c r="P207" i="1" s="1"/>
  <c r="I205" i="1"/>
  <c r="I207" i="1" s="1"/>
  <c r="P30" i="1"/>
  <c r="R30" i="1"/>
  <c r="S30" i="1" s="1"/>
  <c r="K48" i="1"/>
  <c r="K55" i="1" s="1"/>
  <c r="G125" i="1"/>
  <c r="F125" i="1"/>
  <c r="E27" i="1"/>
  <c r="K27" i="1"/>
  <c r="R17" i="1"/>
  <c r="O25" i="1"/>
  <c r="O27" i="1" s="1"/>
  <c r="O234" i="1" s="1"/>
  <c r="E38" i="1"/>
  <c r="F35" i="1"/>
  <c r="F38" i="1" s="1"/>
  <c r="P35" i="1"/>
  <c r="G35" i="1"/>
  <c r="P60" i="1"/>
  <c r="P61" i="1" s="1"/>
  <c r="K74" i="1"/>
  <c r="L74" i="1" s="1"/>
  <c r="R76" i="1"/>
  <c r="S76" i="1" s="1"/>
  <c r="I76" i="1"/>
  <c r="L76" i="1"/>
  <c r="K76" i="1"/>
  <c r="E238" i="1"/>
  <c r="G78" i="1"/>
  <c r="G85" i="1"/>
  <c r="F85" i="1"/>
  <c r="L93" i="1"/>
  <c r="R93" i="1" s="1"/>
  <c r="S93" i="1" s="1"/>
  <c r="K93" i="1"/>
  <c r="K99" i="1"/>
  <c r="K102" i="1"/>
  <c r="R110" i="1"/>
  <c r="S110" i="1" s="1"/>
  <c r="L135" i="1"/>
  <c r="K135" i="1"/>
  <c r="R135" i="1" s="1"/>
  <c r="S135" i="1" s="1"/>
  <c r="P150" i="1"/>
  <c r="R150" i="1" s="1"/>
  <c r="S150" i="1" s="1"/>
  <c r="K169" i="1"/>
  <c r="G27" i="1"/>
  <c r="R21" i="1"/>
  <c r="S21" i="1" s="1"/>
  <c r="H25" i="1"/>
  <c r="R25" i="1" s="1"/>
  <c r="S25" i="1" s="1"/>
  <c r="G29" i="1"/>
  <c r="P44" i="1"/>
  <c r="P46" i="1" s="1"/>
  <c r="J44" i="1"/>
  <c r="J46" i="1" s="1"/>
  <c r="G55" i="1"/>
  <c r="K58" i="1"/>
  <c r="L58" i="1" s="1"/>
  <c r="R58" i="1" s="1"/>
  <c r="S58" i="1" s="1"/>
  <c r="K67" i="1"/>
  <c r="R67" i="1"/>
  <c r="S67" i="1" s="1"/>
  <c r="L67" i="1"/>
  <c r="L72" i="1"/>
  <c r="K72" i="1"/>
  <c r="R72" i="1"/>
  <c r="S72" i="1" s="1"/>
  <c r="E112" i="1"/>
  <c r="G83" i="1"/>
  <c r="F83" i="1"/>
  <c r="L91" i="1"/>
  <c r="R91" i="1" s="1"/>
  <c r="S91" i="1" s="1"/>
  <c r="K91" i="1"/>
  <c r="L94" i="1"/>
  <c r="K94" i="1"/>
  <c r="R94" i="1" s="1"/>
  <c r="S94" i="1" s="1"/>
  <c r="K115" i="1"/>
  <c r="I163" i="1"/>
  <c r="I165" i="1" s="1"/>
  <c r="P163" i="1"/>
  <c r="P165" i="1" s="1"/>
  <c r="F59" i="1"/>
  <c r="F61" i="1" s="1"/>
  <c r="I77" i="1"/>
  <c r="G127" i="1"/>
  <c r="F127" i="1"/>
  <c r="K136" i="1"/>
  <c r="G145" i="1"/>
  <c r="K143" i="1"/>
  <c r="K145" i="1" s="1"/>
  <c r="K148" i="1"/>
  <c r="R148" i="1" s="1"/>
  <c r="S148" i="1" s="1"/>
  <c r="L148" i="1"/>
  <c r="E158" i="1"/>
  <c r="G158" i="1" s="1"/>
  <c r="G154" i="1"/>
  <c r="F154" i="1"/>
  <c r="F158" i="1" s="1"/>
  <c r="G161" i="1"/>
  <c r="E165" i="1"/>
  <c r="G165" i="1" s="1"/>
  <c r="P195" i="1"/>
  <c r="I195" i="1"/>
  <c r="I197" i="1" s="1"/>
  <c r="P225" i="1"/>
  <c r="P226" i="1" s="1"/>
  <c r="I225" i="1"/>
  <c r="I226" i="1" s="1"/>
  <c r="P32" i="1"/>
  <c r="R32" i="1" s="1"/>
  <c r="S32" i="1" s="1"/>
  <c r="P37" i="1"/>
  <c r="R37" i="1" s="1"/>
  <c r="S37" i="1" s="1"/>
  <c r="G40" i="1"/>
  <c r="G46" i="1"/>
  <c r="R43" i="1"/>
  <c r="P52" i="1"/>
  <c r="R52" i="1" s="1"/>
  <c r="S52" i="1" s="1"/>
  <c r="P53" i="1"/>
  <c r="R53" i="1" s="1"/>
  <c r="S53" i="1" s="1"/>
  <c r="G57" i="1"/>
  <c r="G64" i="1"/>
  <c r="L65" i="1"/>
  <c r="K66" i="1"/>
  <c r="R71" i="1"/>
  <c r="S71" i="1" s="1"/>
  <c r="K73" i="1"/>
  <c r="L73" i="1" s="1"/>
  <c r="K77" i="1"/>
  <c r="R79" i="1"/>
  <c r="S79" i="1" s="1"/>
  <c r="K84" i="1"/>
  <c r="L84" i="1" s="1"/>
  <c r="R84" i="1" s="1"/>
  <c r="S84" i="1" s="1"/>
  <c r="G90" i="1"/>
  <c r="F90" i="1"/>
  <c r="K92" i="1"/>
  <c r="R98" i="1"/>
  <c r="S98" i="1" s="1"/>
  <c r="K100" i="1"/>
  <c r="R100" i="1" s="1"/>
  <c r="S100" i="1" s="1"/>
  <c r="G105" i="1"/>
  <c r="F120" i="1"/>
  <c r="F122" i="1" s="1"/>
  <c r="L121" i="1"/>
  <c r="R121" i="1" s="1"/>
  <c r="S121" i="1" s="1"/>
  <c r="K121" i="1"/>
  <c r="K134" i="1"/>
  <c r="R134" i="1" s="1"/>
  <c r="S134" i="1" s="1"/>
  <c r="L134" i="1"/>
  <c r="N145" i="1"/>
  <c r="N234" i="1" s="1"/>
  <c r="E152" i="1"/>
  <c r="G152" i="1" s="1"/>
  <c r="R170" i="1"/>
  <c r="S170" i="1" s="1"/>
  <c r="P170" i="1"/>
  <c r="P172" i="1" s="1"/>
  <c r="I170" i="1"/>
  <c r="I172" i="1" s="1"/>
  <c r="P179" i="1"/>
  <c r="I179" i="1"/>
  <c r="I181" i="1" s="1"/>
  <c r="L218" i="1"/>
  <c r="P220" i="1"/>
  <c r="P222" i="1" s="1"/>
  <c r="I220" i="1"/>
  <c r="R220" i="1"/>
  <c r="S220" i="1" s="1"/>
  <c r="E239" i="1"/>
  <c r="R22" i="1"/>
  <c r="S22" i="1" s="1"/>
  <c r="E55" i="1"/>
  <c r="L50" i="1"/>
  <c r="R50" i="1" s="1"/>
  <c r="S50" i="1" s="1"/>
  <c r="E61" i="1"/>
  <c r="R65" i="1"/>
  <c r="S65" i="1" s="1"/>
  <c r="K69" i="1"/>
  <c r="L69" i="1" s="1"/>
  <c r="R69" i="1" s="1"/>
  <c r="S69" i="1" s="1"/>
  <c r="K70" i="1"/>
  <c r="R87" i="1"/>
  <c r="S87" i="1" s="1"/>
  <c r="L88" i="1"/>
  <c r="K88" i="1"/>
  <c r="R89" i="1"/>
  <c r="S89" i="1" s="1"/>
  <c r="L89" i="1"/>
  <c r="L92" i="1"/>
  <c r="R92" i="1" s="1"/>
  <c r="S92" i="1" s="1"/>
  <c r="R96" i="1"/>
  <c r="S96" i="1" s="1"/>
  <c r="L97" i="1"/>
  <c r="K97" i="1"/>
  <c r="L100" i="1"/>
  <c r="R104" i="1"/>
  <c r="S104" i="1" s="1"/>
  <c r="L106" i="1"/>
  <c r="K106" i="1"/>
  <c r="R106" i="1" s="1"/>
  <c r="S106" i="1" s="1"/>
  <c r="R107" i="1"/>
  <c r="S107" i="1" s="1"/>
  <c r="K108" i="1"/>
  <c r="I108" i="1"/>
  <c r="I112" i="1" s="1"/>
  <c r="P111" i="1"/>
  <c r="P112" i="1" s="1"/>
  <c r="G124" i="1"/>
  <c r="F124" i="1"/>
  <c r="F128" i="1" s="1"/>
  <c r="E128" i="1"/>
  <c r="K126" i="1"/>
  <c r="R126" i="1" s="1"/>
  <c r="S126" i="1" s="1"/>
  <c r="I126" i="1"/>
  <c r="L126" i="1"/>
  <c r="P127" i="1"/>
  <c r="P128" i="1" s="1"/>
  <c r="R138" i="1"/>
  <c r="S138" i="1" s="1"/>
  <c r="P149" i="1"/>
  <c r="P152" i="1" s="1"/>
  <c r="I149" i="1"/>
  <c r="I152" i="1" s="1"/>
  <c r="L155" i="1"/>
  <c r="K155" i="1"/>
  <c r="R155" i="1"/>
  <c r="S155" i="1" s="1"/>
  <c r="R162" i="1"/>
  <c r="S162" i="1" s="1"/>
  <c r="L162" i="1"/>
  <c r="K162" i="1"/>
  <c r="R164" i="1"/>
  <c r="S164" i="1" s="1"/>
  <c r="E172" i="1"/>
  <c r="G167" i="1"/>
  <c r="F167" i="1"/>
  <c r="F172" i="1" s="1"/>
  <c r="L175" i="1"/>
  <c r="K175" i="1"/>
  <c r="R175" i="1" s="1"/>
  <c r="S175" i="1" s="1"/>
  <c r="G190" i="1"/>
  <c r="G202" i="1"/>
  <c r="E81" i="1"/>
  <c r="P117" i="1"/>
  <c r="P118" i="1" s="1"/>
  <c r="E118" i="1"/>
  <c r="G118" i="1" s="1"/>
  <c r="R147" i="1"/>
  <c r="L147" i="1"/>
  <c r="G174" i="1"/>
  <c r="F174" i="1"/>
  <c r="F181" i="1" s="1"/>
  <c r="G181" i="1" s="1"/>
  <c r="G186" i="1"/>
  <c r="P200" i="1"/>
  <c r="P202" i="1" s="1"/>
  <c r="I200" i="1"/>
  <c r="E207" i="1"/>
  <c r="G207" i="1" s="1"/>
  <c r="G204" i="1"/>
  <c r="I219" i="1"/>
  <c r="I222" i="1" s="1"/>
  <c r="L219" i="1"/>
  <c r="K219" i="1"/>
  <c r="K222" i="1" s="1"/>
  <c r="C234" i="1"/>
  <c r="E237" i="1"/>
  <c r="K131" i="1"/>
  <c r="R144" i="1"/>
  <c r="S144" i="1" s="1"/>
  <c r="K147" i="1"/>
  <c r="K152" i="1" s="1"/>
  <c r="K160" i="1"/>
  <c r="L160" i="1" s="1"/>
  <c r="K168" i="1"/>
  <c r="L168" i="1" s="1"/>
  <c r="R168" i="1" s="1"/>
  <c r="S168" i="1" s="1"/>
  <c r="R180" i="1"/>
  <c r="S180" i="1" s="1"/>
  <c r="P180" i="1"/>
  <c r="L184" i="1"/>
  <c r="K184" i="1"/>
  <c r="E197" i="1"/>
  <c r="G197" i="1" s="1"/>
  <c r="G194" i="1"/>
  <c r="G196" i="1"/>
  <c r="P196" i="1" s="1"/>
  <c r="R196" i="1" s="1"/>
  <c r="S196" i="1" s="1"/>
  <c r="L199" i="1"/>
  <c r="L202" i="1" s="1"/>
  <c r="K226" i="1"/>
  <c r="L224" i="1"/>
  <c r="L226" i="1" s="1"/>
  <c r="K231" i="1"/>
  <c r="R178" i="1"/>
  <c r="S178" i="1" s="1"/>
  <c r="E211" i="1"/>
  <c r="G211" i="1" s="1"/>
  <c r="E233" i="1"/>
  <c r="G233" i="1" s="1"/>
  <c r="R176" i="1"/>
  <c r="S176" i="1" s="1"/>
  <c r="L177" i="1"/>
  <c r="K177" i="1"/>
  <c r="R185" i="1"/>
  <c r="S185" i="1" s="1"/>
  <c r="K192" i="1"/>
  <c r="L189" i="1"/>
  <c r="L192" i="1" s="1"/>
  <c r="P210" i="1"/>
  <c r="E216" i="1"/>
  <c r="G216" i="1" s="1"/>
  <c r="G213" i="1"/>
  <c r="P214" i="1"/>
  <c r="P216" i="1" s="1"/>
  <c r="R215" i="1"/>
  <c r="S215" i="1" s="1"/>
  <c r="K228" i="1"/>
  <c r="R232" i="1"/>
  <c r="S232" i="1" s="1"/>
  <c r="R136" i="1" l="1"/>
  <c r="S136" i="1" s="1"/>
  <c r="K229" i="1"/>
  <c r="L228" i="1"/>
  <c r="L229" i="1" s="1"/>
  <c r="K213" i="1"/>
  <c r="K216" i="1" s="1"/>
  <c r="L213" i="1"/>
  <c r="L216" i="1" s="1"/>
  <c r="R152" i="1"/>
  <c r="S147" i="1"/>
  <c r="L194" i="1"/>
  <c r="L197" i="1" s="1"/>
  <c r="K194" i="1"/>
  <c r="K197" i="1" s="1"/>
  <c r="R219" i="1"/>
  <c r="I202" i="1"/>
  <c r="R200" i="1"/>
  <c r="S200" i="1" s="1"/>
  <c r="L131" i="1"/>
  <c r="R131" i="1" s="1"/>
  <c r="S131" i="1" s="1"/>
  <c r="R149" i="1"/>
  <c r="S149" i="1" s="1"/>
  <c r="I128" i="1"/>
  <c r="R111" i="1"/>
  <c r="S111" i="1" s="1"/>
  <c r="R97" i="1"/>
  <c r="S97" i="1" s="1"/>
  <c r="L70" i="1"/>
  <c r="R70" i="1" s="1"/>
  <c r="S70" i="1" s="1"/>
  <c r="E240" i="1"/>
  <c r="E242" i="1" s="1"/>
  <c r="P181" i="1"/>
  <c r="G120" i="1"/>
  <c r="G61" i="1"/>
  <c r="L57" i="1"/>
  <c r="K57" i="1"/>
  <c r="R57" i="1" s="1"/>
  <c r="S57" i="1" s="1"/>
  <c r="P197" i="1"/>
  <c r="L143" i="1"/>
  <c r="L145" i="1" s="1"/>
  <c r="R73" i="1"/>
  <c r="S73" i="1" s="1"/>
  <c r="G59" i="1"/>
  <c r="R163" i="1"/>
  <c r="S163" i="1" s="1"/>
  <c r="L115" i="1"/>
  <c r="R115" i="1" s="1"/>
  <c r="S115" i="1" s="1"/>
  <c r="F112" i="1"/>
  <c r="L102" i="1"/>
  <c r="R102" i="1" s="1"/>
  <c r="S102" i="1" s="1"/>
  <c r="L99" i="1"/>
  <c r="R99" i="1" s="1"/>
  <c r="S99" i="1" s="1"/>
  <c r="R74" i="1"/>
  <c r="S74" i="1" s="1"/>
  <c r="R60" i="1"/>
  <c r="S60" i="1" s="1"/>
  <c r="L48" i="1"/>
  <c r="L55" i="1" s="1"/>
  <c r="L95" i="1"/>
  <c r="R95" i="1" s="1"/>
  <c r="S95" i="1" s="1"/>
  <c r="L68" i="1"/>
  <c r="R68" i="1" s="1"/>
  <c r="S68" i="1" s="1"/>
  <c r="R31" i="1"/>
  <c r="S31" i="1" s="1"/>
  <c r="R27" i="1"/>
  <c r="S14" i="1"/>
  <c r="G141" i="1"/>
  <c r="K130" i="1"/>
  <c r="K141" i="1" s="1"/>
  <c r="L109" i="1"/>
  <c r="R109" i="1" s="1"/>
  <c r="S109" i="1" s="1"/>
  <c r="L103" i="1"/>
  <c r="R103" i="1" s="1"/>
  <c r="S103" i="1" s="1"/>
  <c r="P190" i="1"/>
  <c r="P192" i="1" s="1"/>
  <c r="I190" i="1"/>
  <c r="L222" i="1"/>
  <c r="S43" i="1"/>
  <c r="J35" i="1"/>
  <c r="J38" i="1" s="1"/>
  <c r="J234" i="1" s="1"/>
  <c r="P211" i="1"/>
  <c r="R210" i="1"/>
  <c r="K233" i="1"/>
  <c r="R174" i="1"/>
  <c r="L174" i="1"/>
  <c r="L181" i="1" s="1"/>
  <c r="K174" i="1"/>
  <c r="K181" i="1" s="1"/>
  <c r="R160" i="1"/>
  <c r="K167" i="1"/>
  <c r="K172" i="1" s="1"/>
  <c r="G172" i="1"/>
  <c r="G128" i="1"/>
  <c r="K124" i="1"/>
  <c r="L77" i="1"/>
  <c r="R77" i="1" s="1"/>
  <c r="R40" i="1"/>
  <c r="S40" i="1" s="1"/>
  <c r="S41" i="1" s="1"/>
  <c r="P40" i="1"/>
  <c r="P41" i="1" s="1"/>
  <c r="R41" i="1" s="1"/>
  <c r="L154" i="1"/>
  <c r="L158" i="1" s="1"/>
  <c r="K154" i="1"/>
  <c r="K158" i="1" s="1"/>
  <c r="I127" i="1"/>
  <c r="R127" i="1"/>
  <c r="S127" i="1" s="1"/>
  <c r="L66" i="1"/>
  <c r="R66" i="1" s="1"/>
  <c r="S66" i="1" s="1"/>
  <c r="K83" i="1"/>
  <c r="G112" i="1"/>
  <c r="L83" i="1"/>
  <c r="R44" i="1"/>
  <c r="S44" i="1" s="1"/>
  <c r="P29" i="1"/>
  <c r="P38" i="1" s="1"/>
  <c r="L169" i="1"/>
  <c r="R169" i="1" s="1"/>
  <c r="S169" i="1" s="1"/>
  <c r="K85" i="1"/>
  <c r="F234" i="1"/>
  <c r="S17" i="1"/>
  <c r="K125" i="1"/>
  <c r="L125" i="1" s="1"/>
  <c r="R125" i="1" s="1"/>
  <c r="S125" i="1" s="1"/>
  <c r="L186" i="1"/>
  <c r="K114" i="1"/>
  <c r="K118" i="1" s="1"/>
  <c r="I114" i="1"/>
  <c r="I118" i="1" s="1"/>
  <c r="R157" i="1"/>
  <c r="S157" i="1" s="1"/>
  <c r="R45" i="1"/>
  <c r="S45" i="1" s="1"/>
  <c r="K90" i="1"/>
  <c r="L90" i="1"/>
  <c r="R90" i="1" s="1"/>
  <c r="S90" i="1" s="1"/>
  <c r="R64" i="1"/>
  <c r="L64" i="1"/>
  <c r="K64" i="1"/>
  <c r="K81" i="1" s="1"/>
  <c r="G81" i="1"/>
  <c r="K161" i="1"/>
  <c r="R195" i="1"/>
  <c r="S195" i="1" s="1"/>
  <c r="R214" i="1"/>
  <c r="S214" i="1" s="1"/>
  <c r="R205" i="1"/>
  <c r="S205" i="1" s="1"/>
  <c r="R177" i="1"/>
  <c r="S177" i="1" s="1"/>
  <c r="L231" i="1"/>
  <c r="L233" i="1" s="1"/>
  <c r="R199" i="1"/>
  <c r="K186" i="1"/>
  <c r="R184" i="1"/>
  <c r="S184" i="1" s="1"/>
  <c r="K204" i="1"/>
  <c r="K207" i="1" s="1"/>
  <c r="L152" i="1"/>
  <c r="R117" i="1"/>
  <c r="S117" i="1" s="1"/>
  <c r="R108" i="1"/>
  <c r="S108" i="1" s="1"/>
  <c r="L108" i="1"/>
  <c r="R88" i="1"/>
  <c r="S88" i="1" s="1"/>
  <c r="R179" i="1"/>
  <c r="S179" i="1" s="1"/>
  <c r="L136" i="1"/>
  <c r="K105" i="1"/>
  <c r="L105" i="1"/>
  <c r="R105" i="1" s="1"/>
  <c r="S105" i="1" s="1"/>
  <c r="P55" i="1"/>
  <c r="R225" i="1"/>
  <c r="I78" i="1"/>
  <c r="R78" i="1" s="1"/>
  <c r="P78" i="1"/>
  <c r="P81" i="1" s="1"/>
  <c r="G38" i="1"/>
  <c r="R48" i="1"/>
  <c r="R183" i="1"/>
  <c r="R116" i="1"/>
  <c r="S116" i="1" s="1"/>
  <c r="H27" i="1"/>
  <c r="H234" i="1" s="1"/>
  <c r="S77" i="1" l="1"/>
  <c r="S78" i="1"/>
  <c r="R81" i="1"/>
  <c r="S64" i="1"/>
  <c r="K165" i="1"/>
  <c r="R143" i="1"/>
  <c r="R228" i="1"/>
  <c r="P234" i="1"/>
  <c r="R83" i="1"/>
  <c r="R154" i="1"/>
  <c r="K128" i="1"/>
  <c r="S160" i="1"/>
  <c r="R231" i="1"/>
  <c r="L130" i="1"/>
  <c r="L141" i="1" s="1"/>
  <c r="R222" i="1"/>
  <c r="S219" i="1"/>
  <c r="S222" i="1" s="1"/>
  <c r="S174" i="1"/>
  <c r="S181" i="1" s="1"/>
  <c r="R181" i="1"/>
  <c r="S183" i="1"/>
  <c r="S186" i="1" s="1"/>
  <c r="R186" i="1"/>
  <c r="I81" i="1"/>
  <c r="S225" i="1"/>
  <c r="S226" i="1" s="1"/>
  <c r="R226" i="1"/>
  <c r="L204" i="1"/>
  <c r="L207" i="1" s="1"/>
  <c r="L161" i="1"/>
  <c r="L165" i="1" s="1"/>
  <c r="L114" i="1"/>
  <c r="L118" i="1" s="1"/>
  <c r="L85" i="1"/>
  <c r="R85" i="1" s="1"/>
  <c r="S85" i="1" s="1"/>
  <c r="R29" i="1"/>
  <c r="L124" i="1"/>
  <c r="L128" i="1" s="1"/>
  <c r="L167" i="1"/>
  <c r="L172" i="1" s="1"/>
  <c r="R35" i="1"/>
  <c r="S35" i="1" s="1"/>
  <c r="I192" i="1"/>
  <c r="R190" i="1"/>
  <c r="K59" i="1"/>
  <c r="L59" i="1" s="1"/>
  <c r="G122" i="1"/>
  <c r="G234" i="1" s="1"/>
  <c r="L120" i="1"/>
  <c r="I120" i="1"/>
  <c r="I122" i="1" s="1"/>
  <c r="K120" i="1"/>
  <c r="K122" i="1" s="1"/>
  <c r="R194" i="1"/>
  <c r="R213" i="1"/>
  <c r="S46" i="1"/>
  <c r="R55" i="1"/>
  <c r="S48" i="1"/>
  <c r="R204" i="1"/>
  <c r="R202" i="1"/>
  <c r="S199" i="1"/>
  <c r="S202" i="1" s="1"/>
  <c r="L81" i="1"/>
  <c r="R114" i="1"/>
  <c r="K112" i="1"/>
  <c r="R124" i="1"/>
  <c r="R211" i="1"/>
  <c r="S210" i="1"/>
  <c r="S211" i="1" s="1"/>
  <c r="R46" i="1"/>
  <c r="R130" i="1"/>
  <c r="S27" i="1"/>
  <c r="K61" i="1"/>
  <c r="S152" i="1"/>
  <c r="R59" i="1" l="1"/>
  <c r="L61" i="1"/>
  <c r="R216" i="1"/>
  <c r="S213" i="1"/>
  <c r="S216" i="1" s="1"/>
  <c r="R141" i="1"/>
  <c r="S130" i="1"/>
  <c r="S141" i="1" s="1"/>
  <c r="S124" i="1"/>
  <c r="S128" i="1" s="1"/>
  <c r="R128" i="1"/>
  <c r="R197" i="1"/>
  <c r="S194" i="1"/>
  <c r="S197" i="1" s="1"/>
  <c r="R192" i="1"/>
  <c r="S190" i="1"/>
  <c r="S192" i="1" s="1"/>
  <c r="R167" i="1"/>
  <c r="L112" i="1"/>
  <c r="R238" i="1"/>
  <c r="L122" i="1"/>
  <c r="R120" i="1"/>
  <c r="S83" i="1"/>
  <c r="S112" i="1" s="1"/>
  <c r="R112" i="1"/>
  <c r="S238" i="1"/>
  <c r="K234" i="1"/>
  <c r="S29" i="1"/>
  <c r="R38" i="1"/>
  <c r="R239" i="1"/>
  <c r="I234" i="1"/>
  <c r="R233" i="1"/>
  <c r="S231" i="1"/>
  <c r="S233" i="1" s="1"/>
  <c r="S228" i="1"/>
  <c r="S229" i="1" s="1"/>
  <c r="R229" i="1"/>
  <c r="S81" i="1"/>
  <c r="S55" i="1"/>
  <c r="R118" i="1"/>
  <c r="S114" i="1"/>
  <c r="S118" i="1" s="1"/>
  <c r="R207" i="1"/>
  <c r="S204" i="1"/>
  <c r="S207" i="1" s="1"/>
  <c r="R61" i="1"/>
  <c r="S154" i="1"/>
  <c r="S158" i="1" s="1"/>
  <c r="R158" i="1"/>
  <c r="S143" i="1"/>
  <c r="S145" i="1" s="1"/>
  <c r="R145" i="1"/>
  <c r="R161" i="1"/>
  <c r="S38" i="1" l="1"/>
  <c r="S239" i="1"/>
  <c r="L234" i="1"/>
  <c r="S161" i="1"/>
  <c r="R237" i="1"/>
  <c r="R165" i="1"/>
  <c r="R234" i="1" s="1"/>
  <c r="R122" i="1"/>
  <c r="S120" i="1"/>
  <c r="S122" i="1" s="1"/>
  <c r="R172" i="1"/>
  <c r="S167" i="1"/>
  <c r="S172" i="1" s="1"/>
  <c r="S59" i="1"/>
  <c r="R236" i="1"/>
  <c r="R240" i="1" s="1"/>
  <c r="S61" i="1" l="1"/>
  <c r="S234" i="1"/>
  <c r="E243" i="1" s="1"/>
  <c r="S237" i="1"/>
  <c r="S165" i="1"/>
  <c r="S240" i="1" l="1"/>
</calcChain>
</file>

<file path=xl/sharedStrings.xml><?xml version="1.0" encoding="utf-8"?>
<sst xmlns="http://schemas.openxmlformats.org/spreadsheetml/2006/main" count="428" uniqueCount="326">
  <si>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КНП "Димерська центральна  селищна лікарня"  Димерської селищної ради</t>
  </si>
  <si>
    <t>додаток №1 до рішення Димерської селищної ради</t>
  </si>
  <si>
    <t>До наказу № _______від _______________</t>
  </si>
  <si>
    <t>Код ЄДРПОУ 43923918</t>
  </si>
  <si>
    <t xml:space="preserve">ФОП за місяць становить </t>
  </si>
  <si>
    <t>2741521,77 грн.</t>
  </si>
  <si>
    <t xml:space="preserve">           </t>
  </si>
  <si>
    <t>Штатний розпис   КНП "Димерська центральна селищна лікарня" Димерської селищної ради</t>
  </si>
  <si>
    <t xml:space="preserve"> </t>
  </si>
  <si>
    <t xml:space="preserve">станом на 01.08.2026 року </t>
  </si>
  <si>
    <t>Посада</t>
  </si>
  <si>
    <t>К-ть</t>
  </si>
  <si>
    <t>Розряд</t>
  </si>
  <si>
    <r>
      <t xml:space="preserve">Посадовий оклад </t>
    </r>
    <r>
      <rPr>
        <sz val="9"/>
        <rFont val="Times New Roman"/>
        <family val="1"/>
        <charset val="204"/>
      </rPr>
      <t>(пос.№859 від 19.09.1999р.</t>
    </r>
    <r>
      <rPr>
        <b/>
        <sz val="9"/>
        <rFont val="Times New Roman"/>
        <family val="1"/>
        <charset val="204"/>
      </rPr>
      <t>),грн</t>
    </r>
  </si>
  <si>
    <t>Шкідливі умови праці 15%, 20%    /Керівництво 10%     грн.</t>
  </si>
  <si>
    <t>Посадовий оклад з підвищ.        грн</t>
  </si>
  <si>
    <r>
      <t>Доплати та надбавки(</t>
    </r>
    <r>
      <rPr>
        <sz val="9"/>
        <rFont val="Times New Roman"/>
        <family val="1"/>
        <charset val="204"/>
      </rPr>
      <t>наказ №308/519(зі змінами)від 05.10.2005р</t>
    </r>
  </si>
  <si>
    <t>Надбавка за престижність праці               грн</t>
  </si>
  <si>
    <t>Доплата за науковий ступінь</t>
  </si>
  <si>
    <t>Нічні 35%</t>
  </si>
  <si>
    <r>
      <rPr>
        <b/>
        <sz val="9"/>
        <rFont val="Times New Roman"/>
        <family val="1"/>
        <charset val="204"/>
      </rPr>
      <t>Премія</t>
    </r>
    <r>
      <rPr>
        <sz val="9"/>
        <rFont val="Times New Roman"/>
        <family val="1"/>
        <charset val="204"/>
      </rPr>
      <t xml:space="preserve">  грн </t>
    </r>
  </si>
  <si>
    <t>Доплата до мінімал. з/пл. грн</t>
  </si>
  <si>
    <t>Фонд з/п на місяць           грн</t>
  </si>
  <si>
    <t>Фонд з/п з 01.08.2026-31.12.2026  грн</t>
  </si>
  <si>
    <r>
      <rPr>
        <b/>
        <sz val="9"/>
        <rFont val="Times New Roman"/>
        <family val="1"/>
        <charset val="204"/>
      </rPr>
      <t xml:space="preserve">За складність та напруж. в роботі  </t>
    </r>
    <r>
      <rPr>
        <sz val="9"/>
        <rFont val="Times New Roman"/>
        <family val="1"/>
        <charset val="204"/>
      </rPr>
      <t xml:space="preserve">  50% грн.</t>
    </r>
  </si>
  <si>
    <r>
      <rPr>
        <b/>
        <sz val="9"/>
        <rFont val="Times New Roman"/>
        <family val="1"/>
        <charset val="204"/>
      </rPr>
      <t xml:space="preserve"> дез.засоби</t>
    </r>
    <r>
      <rPr>
        <sz val="9"/>
        <rFont val="Times New Roman"/>
        <family val="1"/>
        <charset val="204"/>
      </rPr>
      <t xml:space="preserve"> 10% грн.</t>
    </r>
  </si>
  <si>
    <r>
      <rPr>
        <b/>
        <sz val="9"/>
        <rFont val="Times New Roman"/>
        <family val="1"/>
        <charset val="204"/>
      </rPr>
      <t>Дез.зас, Шкідливі умови праці-</t>
    </r>
    <r>
      <rPr>
        <sz val="9"/>
        <rFont val="Times New Roman"/>
        <family val="1"/>
        <charset val="204"/>
      </rPr>
      <t>4%, грн</t>
    </r>
  </si>
  <si>
    <r>
      <rPr>
        <b/>
        <sz val="9"/>
        <rFont val="Times New Roman"/>
        <family val="1"/>
        <charset val="204"/>
      </rPr>
      <t>Вислуга років</t>
    </r>
    <r>
      <rPr>
        <sz val="9"/>
        <rFont val="Times New Roman"/>
        <family val="1"/>
        <charset val="204"/>
      </rPr>
      <t xml:space="preserve"> (медичний стаж ) грн</t>
    </r>
  </si>
  <si>
    <t>1.АДМІНІСТРАТИВНА ЧАСТИНА</t>
  </si>
  <si>
    <t>1</t>
  </si>
  <si>
    <t xml:space="preserve">Директор </t>
  </si>
  <si>
    <t>2</t>
  </si>
  <si>
    <t xml:space="preserve">Медичний директор </t>
  </si>
  <si>
    <t>3</t>
  </si>
  <si>
    <t xml:space="preserve">Заступник директора з технічних питань                                      </t>
  </si>
  <si>
    <t>4</t>
  </si>
  <si>
    <t>Головна медична сестра</t>
  </si>
  <si>
    <t xml:space="preserve">    </t>
  </si>
  <si>
    <t>5</t>
  </si>
  <si>
    <t>Головний бухгалтер</t>
  </si>
  <si>
    <t xml:space="preserve">                    </t>
  </si>
  <si>
    <t xml:space="preserve">   </t>
  </si>
  <si>
    <t>6</t>
  </si>
  <si>
    <t>Бухгалтер</t>
  </si>
  <si>
    <t xml:space="preserve">                                    </t>
  </si>
  <si>
    <t>7</t>
  </si>
  <si>
    <t>Економіст</t>
  </si>
  <si>
    <t>8</t>
  </si>
  <si>
    <t>Фахівець з публічних закупівель</t>
  </si>
  <si>
    <t>9</t>
  </si>
  <si>
    <t>Інспектор з кадрів</t>
  </si>
  <si>
    <t>10</t>
  </si>
  <si>
    <t>Інспектор з військового обліку</t>
  </si>
  <si>
    <t>11</t>
  </si>
  <si>
    <t>Діловод</t>
  </si>
  <si>
    <t>12</t>
  </si>
  <si>
    <t>Інженер з охорони праці</t>
  </si>
  <si>
    <t>13</t>
  </si>
  <si>
    <t>Адміністратор систем</t>
  </si>
  <si>
    <t>Всього:</t>
  </si>
  <si>
    <t>2.ГОСПОДАРСЬКИЙ ВІДДІЛ</t>
  </si>
  <si>
    <t>14</t>
  </si>
  <si>
    <t>Завідувач господарства</t>
  </si>
  <si>
    <t>15</t>
  </si>
  <si>
    <t>Оператор медичного устаткування</t>
  </si>
  <si>
    <t>16</t>
  </si>
  <si>
    <t>Комірник</t>
  </si>
  <si>
    <t>17</t>
  </si>
  <si>
    <t>Слюсар-сантехнік</t>
  </si>
  <si>
    <t>18</t>
  </si>
  <si>
    <t>Робітник з комплексного обслуговування й ремонту будинків</t>
  </si>
  <si>
    <t>19</t>
  </si>
  <si>
    <t xml:space="preserve">Слюсар-електрик з ремонту та обслуговування електричних підйомників (ліфтів) </t>
  </si>
  <si>
    <t>20</t>
  </si>
  <si>
    <t>Машиніст із прання та ремонту спецодягу</t>
  </si>
  <si>
    <t>21</t>
  </si>
  <si>
    <t>Прибиральник територій</t>
  </si>
  <si>
    <t>22</t>
  </si>
  <si>
    <t>Електромонтер з ремонту та обслуговування електроустаткування</t>
  </si>
  <si>
    <t>2.1 ГАРАЖ</t>
  </si>
  <si>
    <t xml:space="preserve">              </t>
  </si>
  <si>
    <t>23</t>
  </si>
  <si>
    <t>Водій автотранспортних засобів</t>
  </si>
  <si>
    <t xml:space="preserve"> 2.2 Харчоблок</t>
  </si>
  <si>
    <t>24</t>
  </si>
  <si>
    <t>25</t>
  </si>
  <si>
    <t>Кухар</t>
  </si>
  <si>
    <t>26</t>
  </si>
  <si>
    <t>Кухонний робітник</t>
  </si>
  <si>
    <t>.</t>
  </si>
  <si>
    <t>3. ЗАГАЛЬНО ЛІКАРНЯНИЙ ВІДДІЛ</t>
  </si>
  <si>
    <t>27</t>
  </si>
  <si>
    <t>Психолог</t>
  </si>
  <si>
    <t>28</t>
  </si>
  <si>
    <t xml:space="preserve">Лікар - інтерн </t>
  </si>
  <si>
    <t>29</t>
  </si>
  <si>
    <t xml:space="preserve">Сестра медична </t>
  </si>
  <si>
    <t>30</t>
  </si>
  <si>
    <t xml:space="preserve">Адміністратор </t>
  </si>
  <si>
    <t>31</t>
  </si>
  <si>
    <t>Соціальний працівний</t>
  </si>
  <si>
    <t>32</t>
  </si>
  <si>
    <t>Регістратор медичний</t>
  </si>
  <si>
    <t>33</t>
  </si>
  <si>
    <t>Сестра медична з дієтичного харчування</t>
  </si>
  <si>
    <t>3.1. Відділ інфекційного контролю</t>
  </si>
  <si>
    <t>34</t>
  </si>
  <si>
    <t xml:space="preserve">Завідувач </t>
  </si>
  <si>
    <t>35</t>
  </si>
  <si>
    <t>Лікар-епідеміолог</t>
  </si>
  <si>
    <t>36</t>
  </si>
  <si>
    <t>Лікар-інфекціоніст</t>
  </si>
  <si>
    <t>37</t>
  </si>
  <si>
    <t>Статистик</t>
  </si>
  <si>
    <t xml:space="preserve"> 4. ЛІКУВАЛЬНО-ДІАГНОСТИЧНЕ ВІДДІЛЕННЯ</t>
  </si>
  <si>
    <t>4.1. Стаціонарне відділення із неврологічними ліжками і центром паліативної (стаціонарної і мобільної) допомоги дорослим і дітям</t>
  </si>
  <si>
    <t>38</t>
  </si>
  <si>
    <t>Завідувач</t>
  </si>
  <si>
    <t>39</t>
  </si>
  <si>
    <t>Лікар-терапевт</t>
  </si>
  <si>
    <t>40</t>
  </si>
  <si>
    <t>Лікар-невропатолог</t>
  </si>
  <si>
    <t>41</t>
  </si>
  <si>
    <t>Лікар-анестезіолог дитячий</t>
  </si>
  <si>
    <t>42</t>
  </si>
  <si>
    <t>Лікар-анестезіолог</t>
  </si>
  <si>
    <t>43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</si>
  <si>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лікар-терапевт</t>
    </r>
  </si>
  <si>
    <t>44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</si>
  <si>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ліка-хірург</t>
    </r>
  </si>
  <si>
    <t>45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</si>
  <si>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ліка-отоларинголог</t>
    </r>
  </si>
  <si>
    <t>46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</si>
  <si>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ліка-акушер-гінеколог</t>
    </r>
  </si>
  <si>
    <t>47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</si>
  <si>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ліка-анестезіолог</t>
    </r>
  </si>
  <si>
    <t>48</t>
  </si>
  <si>
    <r>
      <rPr>
        <b/>
        <sz val="9"/>
        <rFont val="Times New Roman"/>
        <family val="1"/>
        <charset val="204"/>
      </rPr>
      <t>Черговий лікар:</t>
    </r>
    <r>
      <rPr>
        <sz val="9"/>
        <rFont val="Times New Roman"/>
        <family val="1"/>
        <charset val="204"/>
      </rPr>
      <t xml:space="preserve"> лікар-ендокринолог</t>
    </r>
  </si>
  <si>
    <t>49</t>
  </si>
  <si>
    <t>Сестра медична старша</t>
  </si>
  <si>
    <t>50</t>
  </si>
  <si>
    <t>Сестра медична</t>
  </si>
  <si>
    <t>51</t>
  </si>
  <si>
    <t>Сестра медична стаціонару (маніпуляційка)</t>
  </si>
  <si>
    <t>52</t>
  </si>
  <si>
    <t>Молодша медична сестра</t>
  </si>
  <si>
    <t>53</t>
  </si>
  <si>
    <t>Молодша медична сестра(санітарка-буфетниця)</t>
  </si>
  <si>
    <t>54</t>
  </si>
  <si>
    <t>Сестра-господиня</t>
  </si>
  <si>
    <t>4.2. КОНСУЛЬТАТИВНО-ДІАГНОСТИЧНЕ ВІДДІЛЕННЯ</t>
  </si>
  <si>
    <t>55</t>
  </si>
  <si>
    <t>56</t>
  </si>
  <si>
    <t>Лікар-акушер-гінеколог</t>
  </si>
  <si>
    <t>57</t>
  </si>
  <si>
    <t>Лікар-рентгенолог</t>
  </si>
  <si>
    <t>58</t>
  </si>
  <si>
    <t>Лікар-ортопед-травматолог</t>
  </si>
  <si>
    <t>59</t>
  </si>
  <si>
    <t>Лікар-хірург</t>
  </si>
  <si>
    <t>60</t>
  </si>
  <si>
    <t>Лікар-офтальмолог</t>
  </si>
  <si>
    <t>61</t>
  </si>
  <si>
    <t>62</t>
  </si>
  <si>
    <t>Лікар з ультразвукової діагностики</t>
  </si>
  <si>
    <t>63</t>
  </si>
  <si>
    <t>Лікар-отоларинголог</t>
  </si>
  <si>
    <t>64</t>
  </si>
  <si>
    <t>Лікар-фізичної та реабілітаційної медицини</t>
  </si>
  <si>
    <t>65</t>
  </si>
  <si>
    <r>
      <rPr>
        <b/>
        <sz val="9"/>
        <rFont val="Times New Roman"/>
        <family val="1"/>
        <charset val="204"/>
      </rPr>
      <t>Л</t>
    </r>
    <r>
      <rPr>
        <sz val="9"/>
        <rFont val="Times New Roman"/>
        <family val="1"/>
        <charset val="204"/>
      </rPr>
      <t>ікар-невролог дитячий</t>
    </r>
  </si>
  <si>
    <t>66</t>
  </si>
  <si>
    <t>Лікар-отоларинголог дитячий</t>
  </si>
  <si>
    <t>67</t>
  </si>
  <si>
    <t>Лікар-кардіолог</t>
  </si>
  <si>
    <t>68</t>
  </si>
  <si>
    <t>Лікар-сурдолог</t>
  </si>
  <si>
    <t>69</t>
  </si>
  <si>
    <t>Лікар-стоматолог</t>
  </si>
  <si>
    <t>70</t>
  </si>
  <si>
    <t>71</t>
  </si>
  <si>
    <t>Лікар-ендокринолог</t>
  </si>
  <si>
    <t>72</t>
  </si>
  <si>
    <t>Лікар-педіатр</t>
  </si>
  <si>
    <t>73</t>
  </si>
  <si>
    <t>Лікар-гастроентеролог дитячий</t>
  </si>
  <si>
    <t>74</t>
  </si>
  <si>
    <t>Лікар-проктолог</t>
  </si>
  <si>
    <t>75</t>
  </si>
  <si>
    <t>Лікар-ендоскопіст</t>
  </si>
  <si>
    <t>76</t>
  </si>
  <si>
    <t>77</t>
  </si>
  <si>
    <t>Сестра медична з фізіотерапії</t>
  </si>
  <si>
    <t>78</t>
  </si>
  <si>
    <t>Акушерка</t>
  </si>
  <si>
    <t>79</t>
  </si>
  <si>
    <t>80</t>
  </si>
  <si>
    <t>Сестра медична зі стоматології</t>
  </si>
  <si>
    <t>81</t>
  </si>
  <si>
    <t>Рентгенолаборант</t>
  </si>
  <si>
    <t>82</t>
  </si>
  <si>
    <t>Сестра -  господиня</t>
  </si>
  <si>
    <t>83</t>
  </si>
  <si>
    <t>4.3. КЛІНІКО-ДІАГНОСТИЧНА ЛАБОРАТОРІЯ</t>
  </si>
  <si>
    <t>84</t>
  </si>
  <si>
    <t>Лікар-лаборант</t>
  </si>
  <si>
    <t>85</t>
  </si>
  <si>
    <t>Біохімік</t>
  </si>
  <si>
    <t>86</t>
  </si>
  <si>
    <t xml:space="preserve">Лаборант                                                                    </t>
  </si>
  <si>
    <t>87</t>
  </si>
  <si>
    <t xml:space="preserve">Молодша медична сестра </t>
  </si>
  <si>
    <t xml:space="preserve">                                                                                                                           </t>
  </si>
  <si>
    <t>4.4. БАНК КРОВІ</t>
  </si>
  <si>
    <t>88</t>
  </si>
  <si>
    <t>Завідувач банку крові</t>
  </si>
  <si>
    <t>89</t>
  </si>
  <si>
    <t>Завідувач лабораторії трансфузійної імунології</t>
  </si>
  <si>
    <t>4.5. ІНФЕКЦІЙНЕ ВІДДІЛЕННЯ</t>
  </si>
  <si>
    <t>90</t>
  </si>
  <si>
    <t>91</t>
  </si>
  <si>
    <t>92</t>
  </si>
  <si>
    <t>93</t>
  </si>
  <si>
    <t xml:space="preserve"> 5. ЦЕНТР ПЕРВИННОЇ МЕДИКО-САНІТАРНОЇ ДОПОМОГИ      </t>
  </si>
  <si>
    <t>94</t>
  </si>
  <si>
    <t>95</t>
  </si>
  <si>
    <t xml:space="preserve">5.1.  Димерська АЗПСМ </t>
  </si>
  <si>
    <t>96</t>
  </si>
  <si>
    <t>Лікар загальної практики-сімейний лікар</t>
  </si>
  <si>
    <t>97</t>
  </si>
  <si>
    <t>Лікар - педіатр</t>
  </si>
  <si>
    <t>98</t>
  </si>
  <si>
    <t>99</t>
  </si>
  <si>
    <t>Сестра медична загальної практики-сімейної медицини</t>
  </si>
  <si>
    <t>100</t>
  </si>
  <si>
    <t>101</t>
  </si>
  <si>
    <t>Сестра медична процедурна</t>
  </si>
  <si>
    <t>102</t>
  </si>
  <si>
    <t xml:space="preserve">5.2. КАБІНЕТ ЦІЛОДОБОВОГО НАДАННЯ ПЕРВИННОЇ МЕДИЧНОЇ ДОПОМОГИ </t>
  </si>
  <si>
    <t>103</t>
  </si>
  <si>
    <t xml:space="preserve">Фельдшер </t>
  </si>
  <si>
    <t>104</t>
  </si>
  <si>
    <t xml:space="preserve">5.3. Федорівська АЗПСМ </t>
  </si>
  <si>
    <t>105</t>
  </si>
  <si>
    <t>106</t>
  </si>
  <si>
    <t>107</t>
  </si>
  <si>
    <t>108</t>
  </si>
  <si>
    <t>Машиніст котельні</t>
  </si>
  <si>
    <t>109</t>
  </si>
  <si>
    <t>Двірник</t>
  </si>
  <si>
    <t xml:space="preserve">5.4. Литвинівська АЗПСМ </t>
  </si>
  <si>
    <t>110</t>
  </si>
  <si>
    <t xml:space="preserve">Лікар загальної практики-сімейний лікар </t>
  </si>
  <si>
    <t>111</t>
  </si>
  <si>
    <t>Сестра медична загальної практики- сімейної медицини</t>
  </si>
  <si>
    <t>112</t>
  </si>
  <si>
    <t>Сестра медична патронажна</t>
  </si>
  <si>
    <t>113</t>
  </si>
  <si>
    <t xml:space="preserve">5.5. Катюжанська АЗПСМ </t>
  </si>
  <si>
    <t>114</t>
  </si>
  <si>
    <t>115</t>
  </si>
  <si>
    <t>Сестра медична загальної практики сімейної медицини</t>
  </si>
  <si>
    <t>116</t>
  </si>
  <si>
    <t>117</t>
  </si>
  <si>
    <t>118</t>
  </si>
  <si>
    <t>Реєстратор медичний</t>
  </si>
  <si>
    <t xml:space="preserve">5.6. Ясногородська АЗПСМ </t>
  </si>
  <si>
    <t>119</t>
  </si>
  <si>
    <t>120</t>
  </si>
  <si>
    <t>121</t>
  </si>
  <si>
    <t>122</t>
  </si>
  <si>
    <t>123</t>
  </si>
  <si>
    <t xml:space="preserve">5.7. Демидівська АЗПСМ </t>
  </si>
  <si>
    <t>124</t>
  </si>
  <si>
    <t xml:space="preserve">5.8. Козаровицька АЗПСМ   </t>
  </si>
  <si>
    <t>125</t>
  </si>
  <si>
    <t>126</t>
  </si>
  <si>
    <t>Фельдшерські пункти</t>
  </si>
  <si>
    <t>5.3.1. ФП с.Сичівка</t>
  </si>
  <si>
    <t>127</t>
  </si>
  <si>
    <t>Фельдшер</t>
  </si>
  <si>
    <t>128</t>
  </si>
  <si>
    <t>129</t>
  </si>
  <si>
    <t>Опалювач</t>
  </si>
  <si>
    <t>5.3.2. ФП с.Любимівка</t>
  </si>
  <si>
    <t>130</t>
  </si>
  <si>
    <t>131</t>
  </si>
  <si>
    <t>132</t>
  </si>
  <si>
    <t>5.5.1. ФП с.Абрамівка</t>
  </si>
  <si>
    <t>133</t>
  </si>
  <si>
    <t>134</t>
  </si>
  <si>
    <t>135</t>
  </si>
  <si>
    <t>5.5.2. ФП с.Гута-Катюжанська</t>
  </si>
  <si>
    <t>136</t>
  </si>
  <si>
    <t>137</t>
  </si>
  <si>
    <t>138</t>
  </si>
  <si>
    <t>5.5.3. ФП с.Вахівка</t>
  </si>
  <si>
    <t>139</t>
  </si>
  <si>
    <t>140</t>
  </si>
  <si>
    <t>5.5.4. ФП с.Рудня -Димерська</t>
  </si>
  <si>
    <t>141</t>
  </si>
  <si>
    <t>142</t>
  </si>
  <si>
    <t>143</t>
  </si>
  <si>
    <t>5.6.1. ФП с.Глібівка</t>
  </si>
  <si>
    <t>144</t>
  </si>
  <si>
    <t>145</t>
  </si>
  <si>
    <t>146</t>
  </si>
  <si>
    <t>147</t>
  </si>
  <si>
    <t>5.6.2. ФП с.Сухолуччя</t>
  </si>
  <si>
    <t>148</t>
  </si>
  <si>
    <t>149</t>
  </si>
  <si>
    <t>5.6.3. ФП с.Толокунь</t>
  </si>
  <si>
    <t>150</t>
  </si>
  <si>
    <t>5.6.4. ФП с.Богдани</t>
  </si>
  <si>
    <t>151</t>
  </si>
  <si>
    <t>152</t>
  </si>
  <si>
    <t>Всього по КНП</t>
  </si>
  <si>
    <t xml:space="preserve">лікарі </t>
  </si>
  <si>
    <t>фахівці з базовою та неповною вищою медичною освітою</t>
  </si>
  <si>
    <t>молодший медичний  персонал</t>
  </si>
  <si>
    <t>інший персонал</t>
  </si>
  <si>
    <t>разом</t>
  </si>
  <si>
    <t>Матеріальна допомога на оздоровлення</t>
  </si>
  <si>
    <t>Разом ФОП на 2026 рік:</t>
  </si>
  <si>
    <t>Секретар селищної ради</t>
  </si>
  <si>
    <t xml:space="preserve">Людмила ІВАНОВА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</si>
</sst>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u/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49" fontId="1" fillId="0" borderId="0" xfId="0" applyNumberFormat="1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7" fillId="0" borderId="0" xfId="0" applyFont="1"/>
    <xf numFmtId="0" fontId="5" fillId="0" borderId="0" xfId="0" applyFont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8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8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8" fillId="0" borderId="0" xfId="0" applyFont="1"/>
    <xf numFmtId="0" fontId="6" fillId="0" borderId="0" xfId="0" applyFont="1"/>
    <xf numFmtId="2" fontId="10" fillId="0" borderId="1" xfId="0" applyNumberFormat="1" applyFont="1" applyBorder="1" applyAlignment="1">
      <alignment horizontal="center" wrapText="1"/>
    </xf>
    <xf numFmtId="2" fontId="10" fillId="0" borderId="2" xfId="0" applyNumberFormat="1" applyFont="1" applyBorder="1" applyAlignment="1">
      <alignment horizontal="center" wrapText="1"/>
    </xf>
    <xf numFmtId="0" fontId="9" fillId="0" borderId="0" xfId="0" applyFont="1" applyAlignment="1">
      <alignment horizontal="right"/>
    </xf>
    <xf numFmtId="0" fontId="9" fillId="0" borderId="0" xfId="0" applyFont="1"/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9" fontId="10" fillId="0" borderId="5" xfId="0" applyNumberFormat="1" applyFont="1" applyBorder="1" applyAlignment="1">
      <alignment horizontal="center" vertical="center" wrapText="1"/>
    </xf>
    <xf numFmtId="9" fontId="9" fillId="0" borderId="5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9" fontId="9" fillId="0" borderId="8" xfId="0" applyNumberFormat="1" applyFont="1" applyBorder="1" applyAlignment="1">
      <alignment horizontal="center" vertical="center" wrapText="1"/>
    </xf>
    <xf numFmtId="9" fontId="10" fillId="0" borderId="9" xfId="0" applyNumberFormat="1" applyFont="1" applyBorder="1" applyAlignment="1">
      <alignment horizontal="center" vertical="center" wrapText="1"/>
    </xf>
    <xf numFmtId="9" fontId="9" fillId="0" borderId="9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49" fontId="6" fillId="0" borderId="11" xfId="0" applyNumberFormat="1" applyFont="1" applyBorder="1"/>
    <xf numFmtId="0" fontId="10" fillId="0" borderId="4" xfId="0" applyFont="1" applyBorder="1" applyAlignment="1">
      <alignment horizontal="center" vertical="center" wrapText="1"/>
    </xf>
    <xf numFmtId="9" fontId="10" fillId="0" borderId="4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9" fontId="1" fillId="0" borderId="12" xfId="0" applyNumberFormat="1" applyFont="1" applyBorder="1"/>
    <xf numFmtId="0" fontId="9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2" fontId="9" fillId="0" borderId="13" xfId="0" applyNumberFormat="1" applyFont="1" applyBorder="1" applyAlignment="1">
      <alignment horizontal="center" vertical="center" wrapText="1"/>
    </xf>
    <xf numFmtId="9" fontId="9" fillId="0" borderId="13" xfId="0" applyNumberFormat="1" applyFont="1" applyBorder="1" applyAlignment="1">
      <alignment horizontal="center" vertical="center" wrapText="1"/>
    </xf>
    <xf numFmtId="2" fontId="9" fillId="0" borderId="14" xfId="0" applyNumberFormat="1" applyFont="1" applyBorder="1" applyAlignment="1">
      <alignment horizontal="center" vertical="center" wrapText="1"/>
    </xf>
    <xf numFmtId="1" fontId="9" fillId="0" borderId="13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/>
    <xf numFmtId="0" fontId="13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center" vertical="center" wrapText="1"/>
    </xf>
    <xf numFmtId="2" fontId="13" fillId="0" borderId="8" xfId="0" applyNumberFormat="1" applyFont="1" applyBorder="1" applyAlignment="1">
      <alignment horizontal="center" vertical="center" wrapText="1"/>
    </xf>
    <xf numFmtId="9" fontId="13" fillId="0" borderId="8" xfId="0" applyNumberFormat="1" applyFont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center" vertical="center" wrapText="1"/>
    </xf>
    <xf numFmtId="0" fontId="12" fillId="0" borderId="0" xfId="0" applyFont="1"/>
    <xf numFmtId="2" fontId="10" fillId="0" borderId="4" xfId="0" applyNumberFormat="1" applyFont="1" applyBorder="1" applyAlignment="1">
      <alignment horizontal="center" vertical="center" wrapText="1"/>
    </xf>
    <xf numFmtId="2" fontId="14" fillId="0" borderId="13" xfId="0" applyNumberFormat="1" applyFont="1" applyBorder="1" applyAlignment="1">
      <alignment horizontal="center" vertical="center" wrapText="1"/>
    </xf>
    <xf numFmtId="2" fontId="13" fillId="0" borderId="10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9" fontId="9" fillId="0" borderId="4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0" borderId="0" xfId="0" applyFont="1"/>
    <xf numFmtId="49" fontId="15" fillId="0" borderId="3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2" fontId="14" fillId="0" borderId="5" xfId="0" applyNumberFormat="1" applyFont="1" applyBorder="1" applyAlignment="1">
      <alignment horizontal="center" vertical="center" wrapText="1"/>
    </xf>
    <xf numFmtId="2" fontId="14" fillId="0" borderId="16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49" fontId="1" fillId="0" borderId="12" xfId="0" applyNumberFormat="1" applyFont="1" applyBorder="1" applyAlignment="1">
      <alignment horizontal="left"/>
    </xf>
    <xf numFmtId="2" fontId="16" fillId="0" borderId="13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49" fontId="6" fillId="0" borderId="17" xfId="0" applyNumberFormat="1" applyFont="1" applyBorder="1" applyAlignment="1">
      <alignment horizontal="left"/>
    </xf>
    <xf numFmtId="0" fontId="10" fillId="0" borderId="18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center" vertical="center" wrapText="1"/>
    </xf>
    <xf numFmtId="2" fontId="10" fillId="0" borderId="18" xfId="0" applyNumberFormat="1" applyFont="1" applyBorder="1" applyAlignment="1">
      <alignment horizontal="center" vertical="center" wrapText="1"/>
    </xf>
    <xf numFmtId="2" fontId="10" fillId="0" borderId="19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15" fillId="0" borderId="11" xfId="0" applyNumberFormat="1" applyFont="1" applyBorder="1" applyAlignment="1">
      <alignment horizontal="left"/>
    </xf>
    <xf numFmtId="2" fontId="14" fillId="0" borderId="4" xfId="0" applyNumberFormat="1" applyFont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 wrapText="1"/>
    </xf>
    <xf numFmtId="2" fontId="15" fillId="0" borderId="0" xfId="0" applyNumberFormat="1" applyFont="1"/>
    <xf numFmtId="2" fontId="17" fillId="0" borderId="0" xfId="0" applyNumberFormat="1" applyFont="1"/>
    <xf numFmtId="0" fontId="17" fillId="0" borderId="0" xfId="0" applyFont="1"/>
    <xf numFmtId="2" fontId="10" fillId="0" borderId="6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/>
    <xf numFmtId="0" fontId="10" fillId="0" borderId="13" xfId="0" applyFont="1" applyBorder="1" applyAlignment="1">
      <alignment horizontal="center" vertical="center" wrapText="1"/>
    </xf>
    <xf numFmtId="2" fontId="1" fillId="0" borderId="0" xfId="0" applyNumberFormat="1" applyFont="1"/>
    <xf numFmtId="2" fontId="12" fillId="0" borderId="0" xfId="0" applyNumberFormat="1" applyFont="1"/>
    <xf numFmtId="0" fontId="10" fillId="0" borderId="4" xfId="0" applyFont="1" applyBorder="1" applyAlignment="1">
      <alignment horizontal="left" vertical="center" wrapText="1"/>
    </xf>
    <xf numFmtId="2" fontId="6" fillId="0" borderId="0" xfId="0" applyNumberFormat="1" applyFont="1"/>
    <xf numFmtId="2" fontId="9" fillId="0" borderId="0" xfId="0" applyNumberFormat="1" applyFont="1"/>
    <xf numFmtId="0" fontId="18" fillId="0" borderId="0" xfId="0" applyFont="1"/>
    <xf numFmtId="49" fontId="12" fillId="0" borderId="17" xfId="0" applyNumberFormat="1" applyFont="1" applyBorder="1"/>
    <xf numFmtId="0" fontId="13" fillId="0" borderId="18" xfId="0" applyFont="1" applyBorder="1" applyAlignment="1">
      <alignment horizontal="left" vertical="center" wrapText="1"/>
    </xf>
    <xf numFmtId="0" fontId="13" fillId="0" borderId="18" xfId="0" applyFont="1" applyBorder="1" applyAlignment="1">
      <alignment horizontal="center" vertical="center" wrapText="1"/>
    </xf>
    <xf numFmtId="2" fontId="13" fillId="0" borderId="18" xfId="0" applyNumberFormat="1" applyFont="1" applyBorder="1" applyAlignment="1">
      <alignment horizontal="center" vertical="center" wrapText="1"/>
    </xf>
    <xf numFmtId="2" fontId="13" fillId="0" borderId="19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/>
    <xf numFmtId="49" fontId="12" fillId="0" borderId="13" xfId="0" applyNumberFormat="1" applyFont="1" applyBorder="1"/>
    <xf numFmtId="0" fontId="13" fillId="0" borderId="13" xfId="0" applyFont="1" applyBorder="1" applyAlignment="1">
      <alignment horizontal="center" vertical="center" wrapText="1"/>
    </xf>
    <xf numFmtId="2" fontId="13" fillId="0" borderId="13" xfId="0" applyNumberFormat="1" applyFont="1" applyBorder="1" applyAlignment="1">
      <alignment horizontal="center" vertical="center" wrapText="1"/>
    </xf>
    <xf numFmtId="49" fontId="17" fillId="0" borderId="13" xfId="0" applyNumberFormat="1" applyFont="1" applyBorder="1"/>
    <xf numFmtId="0" fontId="19" fillId="0" borderId="13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center" vertical="center" wrapText="1"/>
    </xf>
    <xf numFmtId="2" fontId="19" fillId="0" borderId="13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49" fontId="6" fillId="0" borderId="13" xfId="0" applyNumberFormat="1" applyFont="1" applyBorder="1"/>
    <xf numFmtId="2" fontId="10" fillId="0" borderId="13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2" fontId="18" fillId="0" borderId="0" xfId="0" applyNumberFormat="1" applyFont="1"/>
    <xf numFmtId="0" fontId="9" fillId="0" borderId="20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2" fontId="14" fillId="0" borderId="20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/>
    </xf>
    <xf numFmtId="0" fontId="10" fillId="0" borderId="13" xfId="0" applyFont="1" applyBorder="1" applyAlignment="1">
      <alignment horizontal="left" vertical="center" wrapText="1"/>
    </xf>
    <xf numFmtId="49" fontId="1" fillId="0" borderId="21" xfId="0" applyNumberFormat="1" applyFont="1" applyBorder="1"/>
    <xf numFmtId="0" fontId="10" fillId="0" borderId="20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center" vertical="center" wrapText="1"/>
    </xf>
    <xf numFmtId="2" fontId="9" fillId="0" borderId="20" xfId="0" applyNumberFormat="1" applyFont="1" applyBorder="1" applyAlignment="1">
      <alignment horizontal="center" vertical="center" wrapText="1"/>
    </xf>
    <xf numFmtId="2" fontId="9" fillId="0" borderId="22" xfId="0" applyNumberFormat="1" applyFont="1" applyBorder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 wrapText="1"/>
    </xf>
    <xf numFmtId="0" fontId="9" fillId="2" borderId="13" xfId="0" applyFont="1" applyFill="1" applyBorder="1" applyAlignment="1">
      <alignment horizontal="left" vertical="center" wrapText="1"/>
    </xf>
    <xf numFmtId="49" fontId="17" fillId="0" borderId="15" xfId="0" applyNumberFormat="1" applyFont="1" applyBorder="1"/>
    <xf numFmtId="49" fontId="17" fillId="0" borderId="0" xfId="0" applyNumberFormat="1" applyFont="1"/>
    <xf numFmtId="0" fontId="13" fillId="0" borderId="23" xfId="0" applyFont="1" applyBorder="1" applyAlignment="1">
      <alignment horizontal="left" vertical="center" wrapText="1"/>
    </xf>
    <xf numFmtId="2" fontId="13" fillId="0" borderId="24" xfId="0" applyNumberFormat="1" applyFont="1" applyBorder="1" applyAlignment="1">
      <alignment horizontal="center" vertical="center" wrapText="1"/>
    </xf>
    <xf numFmtId="0" fontId="13" fillId="0" borderId="24" xfId="0" applyFont="1" applyBorder="1" applyAlignment="1">
      <alignment horizontal="left" vertical="center" wrapText="1"/>
    </xf>
    <xf numFmtId="4" fontId="1" fillId="0" borderId="0" xfId="0" applyNumberFormat="1" applyFont="1"/>
    <xf numFmtId="0" fontId="1" fillId="0" borderId="11" xfId="0" applyFont="1" applyBorder="1" applyAlignment="1">
      <alignment horizontal="right"/>
    </xf>
    <xf numFmtId="2" fontId="1" fillId="0" borderId="4" xfId="0" applyNumberFormat="1" applyFont="1" applyBorder="1"/>
    <xf numFmtId="0" fontId="1" fillId="0" borderId="12" xfId="0" applyFont="1" applyBorder="1" applyAlignment="1">
      <alignment horizontal="right"/>
    </xf>
    <xf numFmtId="0" fontId="1" fillId="0" borderId="13" xfId="0" applyFont="1" applyBorder="1"/>
    <xf numFmtId="2" fontId="1" fillId="0" borderId="13" xfId="0" applyNumberFormat="1" applyFont="1" applyBorder="1"/>
    <xf numFmtId="0" fontId="1" fillId="0" borderId="14" xfId="0" applyFont="1" applyBorder="1"/>
    <xf numFmtId="2" fontId="1" fillId="0" borderId="14" xfId="0" applyNumberFormat="1" applyFont="1" applyBorder="1"/>
    <xf numFmtId="0" fontId="1" fillId="0" borderId="15" xfId="0" applyFont="1" applyBorder="1" applyAlignment="1">
      <alignment horizontal="right"/>
    </xf>
    <xf numFmtId="0" fontId="1" fillId="0" borderId="8" xfId="0" applyFont="1" applyBorder="1"/>
    <xf numFmtId="2" fontId="1" fillId="0" borderId="8" xfId="0" applyNumberFormat="1" applyFont="1" applyBorder="1"/>
    <xf numFmtId="2" fontId="1" fillId="0" borderId="10" xfId="0" applyNumberFormat="1" applyFont="1" applyBorder="1"/>
    <xf numFmtId="0" fontId="9" fillId="0" borderId="13" xfId="0" applyFont="1" applyBorder="1" applyAlignment="1">
      <alignment horizontal="right"/>
    </xf>
    <xf numFmtId="0" fontId="0" fillId="0" borderId="13" xfId="0" applyBorder="1" applyAlignment="1">
      <alignment horizontal="right"/>
    </xf>
    <xf numFmtId="2" fontId="6" fillId="0" borderId="13" xfId="0" applyNumberFormat="1" applyFont="1" applyBorder="1"/>
    <xf numFmtId="0" fontId="20" fillId="0" borderId="0" xfId="0" applyFont="1"/>
    <xf numFmtId="2" fontId="20" fillId="0" borderId="0" xfId="0" applyNumberFormat="1" applyFont="1"/>
    <xf numFmtId="2" fontId="21" fillId="0" borderId="0" xfId="0" applyNumberFormat="1" applyFont="1"/>
    <xf numFmtId="0" fontId="2" fillId="0" borderId="0" xfId="0" applyFont="1"/>
    <xf numFmtId="0" fontId="3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58"/>
  <sheetViews>
    <sheetView tabSelected="1" topLeftCell="N229" workbookViewId="0">
      <selection activeCell="V241" sqref="V241"/>
    </sheetView>
  </sheetViews>
  <sheetFormatPr defaultColWidth="8.88671875" defaultRowHeight="12" x14ac:dyDescent="0.25"/>
  <cols>
    <col min="1" max="1" width="5.109375" style="1" customWidth="1"/>
    <col min="2" max="2" width="48.6640625" style="4" customWidth="1"/>
    <col min="3" max="3" width="15" style="4" customWidth="1"/>
    <col min="4" max="4" width="6" style="4" customWidth="1"/>
    <col min="5" max="5" width="12.88671875" style="4" customWidth="1"/>
    <col min="6" max="6" width="11.44140625" style="4" customWidth="1"/>
    <col min="7" max="7" width="13.33203125" style="4" customWidth="1"/>
    <col min="8" max="8" width="12.109375" style="4" customWidth="1"/>
    <col min="9" max="9" width="10.88671875" style="4" customWidth="1"/>
    <col min="10" max="10" width="10.33203125" style="4" customWidth="1"/>
    <col min="11" max="11" width="12.6640625" style="4" customWidth="1"/>
    <col min="12" max="12" width="11.33203125" style="4" customWidth="1"/>
    <col min="13" max="13" width="10.21875" style="4" customWidth="1"/>
    <col min="14" max="14" width="9.88671875" style="4" customWidth="1"/>
    <col min="15" max="15" width="10" style="4" customWidth="1"/>
    <col min="16" max="16" width="9.44140625" style="4" customWidth="1"/>
    <col min="17" max="17" width="0.21875" style="4" customWidth="1"/>
    <col min="18" max="18" width="10.5546875" style="4" customWidth="1"/>
    <col min="19" max="19" width="14.109375" style="4" customWidth="1"/>
    <col min="20" max="20" width="9.5546875" style="4" bestFit="1" customWidth="1"/>
    <col min="21" max="16384" width="8.88671875" style="4"/>
  </cols>
  <sheetData>
    <row r="1" spans="1:35" ht="19.95" customHeight="1" x14ac:dyDescent="0.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3"/>
    </row>
    <row r="2" spans="1:35" ht="19.2" customHeight="1" x14ac:dyDescent="0.3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2"/>
      <c r="N2" s="3"/>
      <c r="O2" s="3"/>
      <c r="P2" s="3"/>
      <c r="Q2" s="3"/>
      <c r="R2" s="3"/>
      <c r="S2" s="3"/>
    </row>
    <row r="3" spans="1:35" ht="40.799999999999997" customHeight="1" x14ac:dyDescent="0.35">
      <c r="B3" s="6" t="s">
        <v>0</v>
      </c>
      <c r="C3" s="7"/>
      <c r="D3" s="7"/>
      <c r="E3" s="8"/>
      <c r="F3" s="8"/>
      <c r="G3" s="8"/>
      <c r="H3" s="8"/>
      <c r="I3" s="8"/>
      <c r="J3" s="8"/>
      <c r="K3" s="8"/>
      <c r="L3" s="8"/>
      <c r="M3" s="9" t="s">
        <v>1</v>
      </c>
      <c r="N3" s="10"/>
      <c r="O3" s="10"/>
      <c r="P3" s="10"/>
      <c r="Q3" s="10"/>
      <c r="R3" s="10"/>
      <c r="S3" s="10"/>
    </row>
    <row r="4" spans="1:35" ht="17.399999999999999" customHeight="1" x14ac:dyDescent="0.35">
      <c r="B4" s="11"/>
      <c r="C4" s="12"/>
      <c r="D4" s="12"/>
      <c r="E4" s="8"/>
      <c r="F4" s="8"/>
      <c r="G4" s="8"/>
      <c r="H4" s="8"/>
      <c r="I4" s="8"/>
      <c r="J4" s="8"/>
      <c r="K4" s="8"/>
      <c r="L4" s="8"/>
      <c r="M4" s="13" t="s">
        <v>2</v>
      </c>
      <c r="N4"/>
      <c r="O4"/>
      <c r="P4"/>
      <c r="Q4"/>
      <c r="R4"/>
      <c r="S4"/>
    </row>
    <row r="5" spans="1:35" ht="17.399999999999999" x14ac:dyDescent="0.3">
      <c r="B5" s="14" t="s">
        <v>3</v>
      </c>
      <c r="C5" s="14"/>
      <c r="D5" s="14"/>
      <c r="G5" s="15"/>
      <c r="H5" s="15"/>
      <c r="I5" s="15"/>
      <c r="J5" s="15"/>
      <c r="K5" s="15"/>
      <c r="L5" s="15"/>
      <c r="M5" s="16"/>
      <c r="N5" s="17"/>
      <c r="O5" s="17"/>
      <c r="P5" s="17"/>
      <c r="Q5" s="18"/>
      <c r="R5" s="18"/>
      <c r="S5" s="5"/>
    </row>
    <row r="6" spans="1:35" ht="29.4" customHeight="1" x14ac:dyDescent="0.3">
      <c r="B6" s="19"/>
      <c r="G6" s="20"/>
      <c r="H6" s="21"/>
      <c r="M6" s="22"/>
      <c r="N6" s="17"/>
      <c r="O6" s="17"/>
      <c r="P6" s="17"/>
      <c r="Q6" s="17"/>
      <c r="R6" s="17"/>
      <c r="S6" s="17"/>
    </row>
    <row r="7" spans="1:35" ht="12.6" thickBot="1" x14ac:dyDescent="0.3">
      <c r="G7" s="20"/>
      <c r="H7" s="21"/>
      <c r="I7" s="21"/>
      <c r="R7" s="15"/>
      <c r="S7" s="21"/>
    </row>
    <row r="8" spans="1:35" ht="23.4" customHeight="1" thickBot="1" x14ac:dyDescent="0.3">
      <c r="M8" s="23" t="s">
        <v>4</v>
      </c>
      <c r="N8" s="23"/>
      <c r="O8" s="24" t="s">
        <v>5</v>
      </c>
      <c r="P8" s="25"/>
      <c r="Q8" s="23"/>
      <c r="R8" s="23"/>
      <c r="S8" s="26" t="s">
        <v>6</v>
      </c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7"/>
    </row>
    <row r="9" spans="1:35" ht="23.4" customHeight="1" x14ac:dyDescent="0.3">
      <c r="B9" s="28" t="s">
        <v>7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7" t="s">
        <v>8</v>
      </c>
    </row>
    <row r="10" spans="1:35" ht="27.6" customHeight="1" thickBot="1" x14ac:dyDescent="0.35">
      <c r="B10" s="29" t="s">
        <v>9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</row>
    <row r="11" spans="1:35" ht="37.950000000000003" customHeight="1" x14ac:dyDescent="0.25">
      <c r="A11" s="30"/>
      <c r="B11" s="31" t="s">
        <v>10</v>
      </c>
      <c r="C11" s="32" t="s">
        <v>11</v>
      </c>
      <c r="D11" s="32" t="s">
        <v>12</v>
      </c>
      <c r="E11" s="32" t="s">
        <v>13</v>
      </c>
      <c r="F11" s="32" t="s">
        <v>14</v>
      </c>
      <c r="G11" s="32" t="s">
        <v>15</v>
      </c>
      <c r="H11" s="32" t="s">
        <v>16</v>
      </c>
      <c r="I11" s="32"/>
      <c r="J11" s="32"/>
      <c r="K11" s="32"/>
      <c r="L11" s="33" t="s">
        <v>17</v>
      </c>
      <c r="M11" s="33" t="s">
        <v>18</v>
      </c>
      <c r="N11" s="33" t="s">
        <v>19</v>
      </c>
      <c r="O11" s="34" t="s">
        <v>20</v>
      </c>
      <c r="P11" s="33" t="s">
        <v>21</v>
      </c>
      <c r="Q11" s="31"/>
      <c r="R11" s="32" t="s">
        <v>22</v>
      </c>
      <c r="S11" s="35" t="s">
        <v>23</v>
      </c>
    </row>
    <row r="12" spans="1:35" ht="64.95" customHeight="1" thickBot="1" x14ac:dyDescent="0.3">
      <c r="A12" s="36"/>
      <c r="B12" s="37"/>
      <c r="C12" s="38"/>
      <c r="D12" s="38"/>
      <c r="E12" s="38"/>
      <c r="F12" s="38"/>
      <c r="G12" s="38"/>
      <c r="H12" s="39" t="s">
        <v>24</v>
      </c>
      <c r="I12" s="40" t="s">
        <v>25</v>
      </c>
      <c r="J12" s="40" t="s">
        <v>26</v>
      </c>
      <c r="K12" s="39" t="s">
        <v>27</v>
      </c>
      <c r="L12" s="41"/>
      <c r="M12" s="41"/>
      <c r="N12" s="41"/>
      <c r="O12" s="42"/>
      <c r="P12" s="41"/>
      <c r="Q12" s="37"/>
      <c r="R12" s="38"/>
      <c r="S12" s="43"/>
    </row>
    <row r="13" spans="1:35" s="23" customFormat="1" ht="20.399999999999999" customHeight="1" x14ac:dyDescent="0.2">
      <c r="A13" s="44"/>
      <c r="B13" s="45" t="s">
        <v>28</v>
      </c>
      <c r="C13" s="45"/>
      <c r="D13" s="45"/>
      <c r="E13" s="45"/>
      <c r="F13" s="45"/>
      <c r="G13" s="45"/>
      <c r="H13" s="45"/>
      <c r="I13" s="46"/>
      <c r="J13" s="46"/>
      <c r="K13" s="45"/>
      <c r="L13" s="46"/>
      <c r="M13" s="46"/>
      <c r="N13" s="46"/>
      <c r="O13" s="46"/>
      <c r="P13" s="46"/>
      <c r="Q13" s="45"/>
      <c r="R13" s="45"/>
      <c r="S13" s="47"/>
    </row>
    <row r="14" spans="1:35" x14ac:dyDescent="0.25">
      <c r="A14" s="48" t="s">
        <v>29</v>
      </c>
      <c r="B14" s="49" t="s">
        <v>30</v>
      </c>
      <c r="C14" s="50">
        <v>1</v>
      </c>
      <c r="D14" s="50"/>
      <c r="E14" s="51">
        <v>25000</v>
      </c>
      <c r="F14" s="51"/>
      <c r="G14" s="51">
        <v>25000</v>
      </c>
      <c r="H14" s="50"/>
      <c r="I14" s="52"/>
      <c r="J14" s="52"/>
      <c r="K14" s="50"/>
      <c r="L14" s="52"/>
      <c r="M14" s="50"/>
      <c r="N14" s="51"/>
      <c r="O14" s="50">
        <f>G14</f>
        <v>25000</v>
      </c>
      <c r="P14" s="52"/>
      <c r="Q14" s="50"/>
      <c r="R14" s="51">
        <f>G14+M14+O14</f>
        <v>50000</v>
      </c>
      <c r="S14" s="53">
        <f>R14*5</f>
        <v>250000</v>
      </c>
    </row>
    <row r="15" spans="1:35" x14ac:dyDescent="0.25">
      <c r="A15" s="48" t="s">
        <v>31</v>
      </c>
      <c r="B15" s="49" t="s">
        <v>32</v>
      </c>
      <c r="C15" s="50">
        <v>1</v>
      </c>
      <c r="D15" s="50"/>
      <c r="E15" s="51">
        <f>E14-2500</f>
        <v>22500</v>
      </c>
      <c r="F15" s="51"/>
      <c r="G15" s="51">
        <f>E15</f>
        <v>22500</v>
      </c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>
        <f>E15+N15</f>
        <v>22500</v>
      </c>
      <c r="S15" s="53">
        <f t="shared" ref="S15:S26" si="0">R15*5</f>
        <v>112500</v>
      </c>
    </row>
    <row r="16" spans="1:35" x14ac:dyDescent="0.25">
      <c r="A16" s="48" t="s">
        <v>33</v>
      </c>
      <c r="B16" s="49" t="s">
        <v>34</v>
      </c>
      <c r="C16" s="50">
        <v>1</v>
      </c>
      <c r="D16" s="50"/>
      <c r="E16" s="51">
        <f>E14-2500</f>
        <v>22500</v>
      </c>
      <c r="F16" s="51"/>
      <c r="G16" s="51">
        <f>E16</f>
        <v>22500</v>
      </c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>
        <f>E16+N16</f>
        <v>22500</v>
      </c>
      <c r="S16" s="53">
        <f t="shared" si="0"/>
        <v>112500</v>
      </c>
    </row>
    <row r="17" spans="1:19" x14ac:dyDescent="0.25">
      <c r="A17" s="48" t="s">
        <v>35</v>
      </c>
      <c r="B17" s="49" t="s">
        <v>36</v>
      </c>
      <c r="C17" s="50">
        <v>1</v>
      </c>
      <c r="D17" s="50">
        <v>10</v>
      </c>
      <c r="E17" s="51">
        <v>6315</v>
      </c>
      <c r="F17" s="51"/>
      <c r="G17" s="51">
        <f>E17</f>
        <v>6315</v>
      </c>
      <c r="H17" s="51">
        <f>G17*0.5</f>
        <v>3157.5</v>
      </c>
      <c r="I17" s="51" t="s">
        <v>37</v>
      </c>
      <c r="J17" s="52"/>
      <c r="K17" s="50">
        <f>G17*0.3</f>
        <v>1894.5</v>
      </c>
      <c r="L17" s="51"/>
      <c r="M17" s="52"/>
      <c r="N17" s="51"/>
      <c r="O17" s="54">
        <f>G17*200%</f>
        <v>12630</v>
      </c>
      <c r="P17" s="52"/>
      <c r="Q17" s="50"/>
      <c r="R17" s="51">
        <f>N17+K17+H17+E17+L17+O17</f>
        <v>23997</v>
      </c>
      <c r="S17" s="53">
        <f t="shared" si="0"/>
        <v>119985</v>
      </c>
    </row>
    <row r="18" spans="1:19" x14ac:dyDescent="0.25">
      <c r="A18" s="48" t="s">
        <v>38</v>
      </c>
      <c r="B18" s="49" t="s">
        <v>39</v>
      </c>
      <c r="C18" s="50">
        <v>1</v>
      </c>
      <c r="D18" s="50"/>
      <c r="E18" s="51">
        <f>E14-5000</f>
        <v>20000</v>
      </c>
      <c r="F18" s="51"/>
      <c r="G18" s="51">
        <f t="shared" ref="G18:G36" si="1">E18+F18</f>
        <v>20000</v>
      </c>
      <c r="H18" s="51"/>
      <c r="I18" s="51"/>
      <c r="J18" s="51"/>
      <c r="K18" s="51"/>
      <c r="L18" s="51" t="s">
        <v>40</v>
      </c>
      <c r="M18" s="51"/>
      <c r="N18" s="51"/>
      <c r="O18" s="51">
        <f>G18</f>
        <v>20000</v>
      </c>
      <c r="P18" s="51" t="s">
        <v>41</v>
      </c>
      <c r="Q18" s="51"/>
      <c r="R18" s="51">
        <f>G18+N18+O18</f>
        <v>40000</v>
      </c>
      <c r="S18" s="53">
        <f t="shared" si="0"/>
        <v>200000</v>
      </c>
    </row>
    <row r="19" spans="1:19" x14ac:dyDescent="0.25">
      <c r="A19" s="48" t="s">
        <v>42</v>
      </c>
      <c r="B19" s="49" t="s">
        <v>43</v>
      </c>
      <c r="C19" s="50">
        <v>2</v>
      </c>
      <c r="D19" s="50">
        <v>8</v>
      </c>
      <c r="E19" s="51">
        <f>5691*C19</f>
        <v>11382</v>
      </c>
      <c r="F19" s="51"/>
      <c r="G19" s="51">
        <f t="shared" si="1"/>
        <v>11382</v>
      </c>
      <c r="H19" s="51">
        <f t="shared" ref="H19:H26" si="2">G19*0.5</f>
        <v>5691</v>
      </c>
      <c r="I19" s="51"/>
      <c r="J19" s="51"/>
      <c r="K19" s="51"/>
      <c r="L19" s="51" t="s">
        <v>44</v>
      </c>
      <c r="M19" s="51"/>
      <c r="N19" s="51"/>
      <c r="O19" s="51">
        <f>E19*200%</f>
        <v>22764</v>
      </c>
      <c r="P19" s="51" t="s">
        <v>8</v>
      </c>
      <c r="Q19" s="51"/>
      <c r="R19" s="51">
        <f>G19+H19+O19</f>
        <v>39837</v>
      </c>
      <c r="S19" s="53">
        <f t="shared" si="0"/>
        <v>199185</v>
      </c>
    </row>
    <row r="20" spans="1:19" x14ac:dyDescent="0.25">
      <c r="A20" s="48" t="s">
        <v>45</v>
      </c>
      <c r="B20" s="49" t="s">
        <v>46</v>
      </c>
      <c r="C20" s="50">
        <v>1</v>
      </c>
      <c r="D20" s="50">
        <v>10</v>
      </c>
      <c r="E20" s="51">
        <v>6315</v>
      </c>
      <c r="F20" s="51"/>
      <c r="G20" s="51">
        <f t="shared" si="1"/>
        <v>6315</v>
      </c>
      <c r="H20" s="51">
        <f t="shared" si="2"/>
        <v>3157.5</v>
      </c>
      <c r="I20" s="51"/>
      <c r="J20" s="51"/>
      <c r="K20" s="51"/>
      <c r="L20" s="51" t="s">
        <v>44</v>
      </c>
      <c r="M20" s="51"/>
      <c r="N20" s="51"/>
      <c r="O20" s="51">
        <f>E20*200%</f>
        <v>12630</v>
      </c>
      <c r="P20" s="51" t="s">
        <v>8</v>
      </c>
      <c r="Q20" s="51"/>
      <c r="R20" s="51">
        <f>G20+H20+O20</f>
        <v>22102.5</v>
      </c>
      <c r="S20" s="53">
        <f t="shared" si="0"/>
        <v>110512.5</v>
      </c>
    </row>
    <row r="21" spans="1:19" x14ac:dyDescent="0.25">
      <c r="A21" s="48" t="s">
        <v>47</v>
      </c>
      <c r="B21" s="49" t="s">
        <v>48</v>
      </c>
      <c r="C21" s="50">
        <v>1</v>
      </c>
      <c r="D21" s="50">
        <v>9</v>
      </c>
      <c r="E21" s="51">
        <v>6003</v>
      </c>
      <c r="F21" s="50"/>
      <c r="G21" s="51">
        <f t="shared" si="1"/>
        <v>6003</v>
      </c>
      <c r="H21" s="51">
        <f t="shared" si="2"/>
        <v>3001.5</v>
      </c>
      <c r="I21" s="52"/>
      <c r="J21" s="52"/>
      <c r="K21" s="50"/>
      <c r="L21" s="52"/>
      <c r="M21" s="52"/>
      <c r="N21" s="51"/>
      <c r="O21" s="51">
        <f>G21*200%</f>
        <v>12006</v>
      </c>
      <c r="P21" s="52"/>
      <c r="Q21" s="50"/>
      <c r="R21" s="51">
        <f t="shared" ref="R21:R25" si="3">G21+H21+O21</f>
        <v>21010.5</v>
      </c>
      <c r="S21" s="53">
        <f t="shared" si="0"/>
        <v>105052.5</v>
      </c>
    </row>
    <row r="22" spans="1:19" x14ac:dyDescent="0.25">
      <c r="A22" s="48" t="s">
        <v>49</v>
      </c>
      <c r="B22" s="49" t="s">
        <v>50</v>
      </c>
      <c r="C22" s="50">
        <v>1</v>
      </c>
      <c r="D22" s="50">
        <v>6</v>
      </c>
      <c r="E22" s="51">
        <v>5032</v>
      </c>
      <c r="F22" s="50"/>
      <c r="G22" s="51">
        <f t="shared" si="1"/>
        <v>5032</v>
      </c>
      <c r="H22" s="50">
        <f t="shared" si="2"/>
        <v>2516</v>
      </c>
      <c r="I22" s="52"/>
      <c r="J22" s="52"/>
      <c r="K22" s="50"/>
      <c r="L22" s="52"/>
      <c r="M22" s="52"/>
      <c r="N22" s="51"/>
      <c r="O22" s="51">
        <f>G22*200%</f>
        <v>10064</v>
      </c>
      <c r="P22" s="52"/>
      <c r="Q22" s="50"/>
      <c r="R22" s="51">
        <f t="shared" si="3"/>
        <v>17612</v>
      </c>
      <c r="S22" s="53">
        <f t="shared" si="0"/>
        <v>88060</v>
      </c>
    </row>
    <row r="23" spans="1:19" x14ac:dyDescent="0.25">
      <c r="A23" s="48" t="s">
        <v>51</v>
      </c>
      <c r="B23" s="49" t="s">
        <v>52</v>
      </c>
      <c r="C23" s="50">
        <v>0.5</v>
      </c>
      <c r="D23" s="50">
        <v>6</v>
      </c>
      <c r="E23" s="51">
        <f>5032*C23</f>
        <v>2516</v>
      </c>
      <c r="F23" s="50"/>
      <c r="G23" s="51">
        <f t="shared" si="1"/>
        <v>2516</v>
      </c>
      <c r="H23" s="50">
        <f t="shared" si="2"/>
        <v>1258</v>
      </c>
      <c r="I23" s="52"/>
      <c r="J23" s="52"/>
      <c r="K23" s="50"/>
      <c r="L23" s="52"/>
      <c r="M23" s="52"/>
      <c r="N23" s="51"/>
      <c r="O23" s="51">
        <f>G23*150%</f>
        <v>3774</v>
      </c>
      <c r="P23" s="52"/>
      <c r="Q23" s="50"/>
      <c r="R23" s="51">
        <f t="shared" si="3"/>
        <v>7548</v>
      </c>
      <c r="S23" s="53">
        <f t="shared" si="0"/>
        <v>37740</v>
      </c>
    </row>
    <row r="24" spans="1:19" x14ac:dyDescent="0.25">
      <c r="A24" s="48" t="s">
        <v>53</v>
      </c>
      <c r="B24" s="49" t="s">
        <v>54</v>
      </c>
      <c r="C24" s="50">
        <v>1</v>
      </c>
      <c r="D24" s="50">
        <v>4</v>
      </c>
      <c r="E24" s="51">
        <v>4407</v>
      </c>
      <c r="F24" s="50"/>
      <c r="G24" s="51">
        <f t="shared" si="1"/>
        <v>4407</v>
      </c>
      <c r="H24" s="50">
        <f t="shared" si="2"/>
        <v>2203.5</v>
      </c>
      <c r="I24" s="52"/>
      <c r="J24" s="52"/>
      <c r="K24" s="50"/>
      <c r="L24" s="52"/>
      <c r="M24" s="52"/>
      <c r="N24" s="51"/>
      <c r="O24" s="51">
        <f>G24*200%</f>
        <v>8814</v>
      </c>
      <c r="P24" s="52"/>
      <c r="Q24" s="50"/>
      <c r="R24" s="51">
        <f t="shared" si="3"/>
        <v>15424.5</v>
      </c>
      <c r="S24" s="53">
        <f t="shared" si="0"/>
        <v>77122.5</v>
      </c>
    </row>
    <row r="25" spans="1:19" x14ac:dyDescent="0.25">
      <c r="A25" s="48" t="s">
        <v>55</v>
      </c>
      <c r="B25" s="49" t="s">
        <v>56</v>
      </c>
      <c r="C25" s="50">
        <v>0.5</v>
      </c>
      <c r="D25" s="50">
        <v>9</v>
      </c>
      <c r="E25" s="51">
        <v>3001.5</v>
      </c>
      <c r="F25" s="51"/>
      <c r="G25" s="51">
        <f t="shared" si="1"/>
        <v>3001.5</v>
      </c>
      <c r="H25" s="51">
        <f t="shared" si="2"/>
        <v>1500.75</v>
      </c>
      <c r="I25" s="51"/>
      <c r="J25" s="51"/>
      <c r="K25" s="51"/>
      <c r="L25" s="51"/>
      <c r="M25" s="51"/>
      <c r="N25" s="51"/>
      <c r="O25" s="51">
        <f>G25*150%</f>
        <v>4502.25</v>
      </c>
      <c r="P25" s="51"/>
      <c r="Q25" s="51"/>
      <c r="R25" s="51">
        <f t="shared" si="3"/>
        <v>9004.5</v>
      </c>
      <c r="S25" s="53">
        <f t="shared" si="0"/>
        <v>45022.5</v>
      </c>
    </row>
    <row r="26" spans="1:19" ht="18" customHeight="1" x14ac:dyDescent="0.25">
      <c r="A26" s="48" t="s">
        <v>57</v>
      </c>
      <c r="B26" s="49" t="s">
        <v>58</v>
      </c>
      <c r="C26" s="50">
        <v>1</v>
      </c>
      <c r="D26" s="50">
        <v>4</v>
      </c>
      <c r="E26" s="51">
        <f>4407*C26</f>
        <v>4407</v>
      </c>
      <c r="F26" s="50"/>
      <c r="G26" s="51">
        <f t="shared" si="1"/>
        <v>4407</v>
      </c>
      <c r="H26" s="50">
        <f t="shared" si="2"/>
        <v>2203.5</v>
      </c>
      <c r="I26" s="52"/>
      <c r="J26" s="52"/>
      <c r="K26" s="50"/>
      <c r="L26" s="52"/>
      <c r="M26" s="52"/>
      <c r="N26" s="51"/>
      <c r="O26" s="51">
        <f>G26*150%</f>
        <v>6610.5</v>
      </c>
      <c r="P26" s="52"/>
      <c r="Q26" s="50"/>
      <c r="R26" s="51">
        <f>G26+H26+O26</f>
        <v>13221</v>
      </c>
      <c r="S26" s="53">
        <f t="shared" si="0"/>
        <v>66105</v>
      </c>
    </row>
    <row r="27" spans="1:19" s="61" customFormat="1" ht="19.2" customHeight="1" thickBot="1" x14ac:dyDescent="0.3">
      <c r="A27" s="55"/>
      <c r="B27" s="56" t="s">
        <v>59</v>
      </c>
      <c r="C27" s="57">
        <f>SUM(C14:C26)</f>
        <v>13</v>
      </c>
      <c r="D27" s="57"/>
      <c r="E27" s="58">
        <f>SUM(E14:E26)</f>
        <v>139378.5</v>
      </c>
      <c r="F27" s="57"/>
      <c r="G27" s="58">
        <f>SUM(G14:G26)</f>
        <v>139378.5</v>
      </c>
      <c r="H27" s="57">
        <f>SUM(H14:H26)</f>
        <v>24689.25</v>
      </c>
      <c r="I27" s="59"/>
      <c r="J27" s="59"/>
      <c r="K27" s="57">
        <f>SUM(K14:K26)</f>
        <v>1894.5</v>
      </c>
      <c r="L27" s="59"/>
      <c r="M27" s="57">
        <f>SUM(M14:M26)</f>
        <v>0</v>
      </c>
      <c r="N27" s="58"/>
      <c r="O27" s="58">
        <f>SUM(O14:O26)</f>
        <v>138794.75</v>
      </c>
      <c r="P27" s="59"/>
      <c r="Q27" s="57"/>
      <c r="R27" s="58">
        <f>SUM(R14:R26)</f>
        <v>304757</v>
      </c>
      <c r="S27" s="60">
        <f>SUM(S14:S26)</f>
        <v>1523785</v>
      </c>
    </row>
    <row r="28" spans="1:19" s="23" customFormat="1" ht="21.6" customHeight="1" x14ac:dyDescent="0.2">
      <c r="A28" s="44"/>
      <c r="B28" s="45" t="s">
        <v>60</v>
      </c>
      <c r="C28" s="45"/>
      <c r="D28" s="45"/>
      <c r="E28" s="62"/>
      <c r="F28" s="45"/>
      <c r="G28" s="62"/>
      <c r="H28" s="45"/>
      <c r="I28" s="46"/>
      <c r="J28" s="46"/>
      <c r="K28" s="45"/>
      <c r="L28" s="46"/>
      <c r="M28" s="46"/>
      <c r="N28" s="62"/>
      <c r="O28" s="62"/>
      <c r="P28" s="46"/>
      <c r="Q28" s="45"/>
      <c r="R28" s="62"/>
      <c r="S28" s="53"/>
    </row>
    <row r="29" spans="1:19" x14ac:dyDescent="0.25">
      <c r="A29" s="48" t="s">
        <v>61</v>
      </c>
      <c r="B29" s="49" t="s">
        <v>62</v>
      </c>
      <c r="C29" s="50">
        <v>1</v>
      </c>
      <c r="D29" s="50">
        <v>7</v>
      </c>
      <c r="E29" s="51">
        <f>5344*C29</f>
        <v>5344</v>
      </c>
      <c r="F29" s="50"/>
      <c r="G29" s="51">
        <f t="shared" ref="G29:G32" si="4">E29+F29</f>
        <v>5344</v>
      </c>
      <c r="H29" s="51"/>
      <c r="I29" s="51"/>
      <c r="J29" s="51"/>
      <c r="K29" s="51"/>
      <c r="L29" s="51"/>
      <c r="M29" s="51"/>
      <c r="N29" s="51"/>
      <c r="O29" s="51"/>
      <c r="P29" s="51">
        <f>8647*C29-G29</f>
        <v>3303</v>
      </c>
      <c r="Q29" s="51"/>
      <c r="R29" s="51">
        <f>G29+H29+I29+ J29+K29+L29+N29+O29+P29</f>
        <v>8647</v>
      </c>
      <c r="S29" s="53">
        <f>R29*5</f>
        <v>43235</v>
      </c>
    </row>
    <row r="30" spans="1:19" x14ac:dyDescent="0.25">
      <c r="A30" s="48" t="s">
        <v>63</v>
      </c>
      <c r="B30" s="49" t="s">
        <v>64</v>
      </c>
      <c r="C30" s="50">
        <v>0.5</v>
      </c>
      <c r="D30" s="50">
        <v>6</v>
      </c>
      <c r="E30" s="51">
        <f>5032*C30</f>
        <v>2516</v>
      </c>
      <c r="F30" s="50"/>
      <c r="G30" s="51">
        <f t="shared" si="4"/>
        <v>2516</v>
      </c>
      <c r="H30" s="51"/>
      <c r="I30" s="51"/>
      <c r="J30" s="51"/>
      <c r="K30" s="51"/>
      <c r="L30" s="51"/>
      <c r="M30" s="51"/>
      <c r="N30" s="51"/>
      <c r="O30" s="51"/>
      <c r="P30" s="51">
        <f>8647*C30-G30</f>
        <v>1807.5</v>
      </c>
      <c r="Q30" s="51"/>
      <c r="R30" s="51">
        <f>G30+H30+I30+ J30+K30+L30+N30+O30+P30</f>
        <v>4323.5</v>
      </c>
      <c r="S30" s="53">
        <f t="shared" ref="S30:S37" si="5">R30*5</f>
        <v>21617.5</v>
      </c>
    </row>
    <row r="31" spans="1:19" x14ac:dyDescent="0.25">
      <c r="A31" s="48" t="s">
        <v>65</v>
      </c>
      <c r="B31" s="49" t="s">
        <v>66</v>
      </c>
      <c r="C31" s="50">
        <v>0.5</v>
      </c>
      <c r="D31" s="50">
        <v>1</v>
      </c>
      <c r="E31" s="51">
        <f>3470*C31</f>
        <v>1735</v>
      </c>
      <c r="F31" s="50"/>
      <c r="G31" s="51">
        <f t="shared" si="4"/>
        <v>1735</v>
      </c>
      <c r="H31" s="51"/>
      <c r="I31" s="51"/>
      <c r="J31" s="51"/>
      <c r="K31" s="51"/>
      <c r="L31" s="51"/>
      <c r="M31" s="51"/>
      <c r="N31" s="51"/>
      <c r="O31" s="51"/>
      <c r="P31" s="51">
        <f>8647*C31-E31</f>
        <v>2588.5</v>
      </c>
      <c r="Q31" s="51"/>
      <c r="R31" s="51">
        <f t="shared" ref="R31:R32" si="6">G31+H31+I31+ J31+K31+L31+N31+O31+P31</f>
        <v>4323.5</v>
      </c>
      <c r="S31" s="53">
        <f t="shared" si="5"/>
        <v>21617.5</v>
      </c>
    </row>
    <row r="32" spans="1:19" x14ac:dyDescent="0.25">
      <c r="A32" s="48" t="s">
        <v>67</v>
      </c>
      <c r="B32" s="49" t="s">
        <v>68</v>
      </c>
      <c r="C32" s="50">
        <v>1.5</v>
      </c>
      <c r="D32" s="50">
        <v>1</v>
      </c>
      <c r="E32" s="51">
        <f>3470*C32</f>
        <v>5205</v>
      </c>
      <c r="F32" s="50"/>
      <c r="G32" s="51">
        <f t="shared" si="4"/>
        <v>5205</v>
      </c>
      <c r="H32" s="51"/>
      <c r="I32" s="51"/>
      <c r="J32" s="51"/>
      <c r="K32" s="51"/>
      <c r="L32" s="51"/>
      <c r="M32" s="51"/>
      <c r="N32" s="51"/>
      <c r="O32" s="51"/>
      <c r="P32" s="51">
        <f>8647*C32-G32</f>
        <v>7765.5</v>
      </c>
      <c r="Q32" s="51"/>
      <c r="R32" s="51">
        <f t="shared" si="6"/>
        <v>12970.5</v>
      </c>
      <c r="S32" s="53">
        <f t="shared" si="5"/>
        <v>64852.5</v>
      </c>
    </row>
    <row r="33" spans="1:19" x14ac:dyDescent="0.25">
      <c r="A33" s="48" t="s">
        <v>69</v>
      </c>
      <c r="B33" s="49" t="s">
        <v>70</v>
      </c>
      <c r="C33" s="50">
        <v>1.5</v>
      </c>
      <c r="D33" s="50">
        <v>3</v>
      </c>
      <c r="E33" s="51">
        <f>4095*C33</f>
        <v>6142.5</v>
      </c>
      <c r="F33" s="50"/>
      <c r="G33" s="51">
        <f t="shared" si="1"/>
        <v>6142.5</v>
      </c>
      <c r="H33" s="51"/>
      <c r="I33" s="51"/>
      <c r="J33" s="51"/>
      <c r="K33" s="51"/>
      <c r="L33" s="51"/>
      <c r="M33" s="51"/>
      <c r="N33" s="51"/>
      <c r="O33" s="51"/>
      <c r="P33" s="51">
        <f>8647*C33-G33</f>
        <v>6828</v>
      </c>
      <c r="Q33" s="51"/>
      <c r="R33" s="51">
        <f>G33+H33+I33+ J33+K33+L33+N33+O33+P33</f>
        <v>12970.5</v>
      </c>
      <c r="S33" s="53">
        <f t="shared" si="5"/>
        <v>64852.5</v>
      </c>
    </row>
    <row r="34" spans="1:19" ht="24" x14ac:dyDescent="0.25">
      <c r="A34" s="48" t="s">
        <v>71</v>
      </c>
      <c r="B34" s="49" t="s">
        <v>72</v>
      </c>
      <c r="C34" s="50">
        <v>0.5</v>
      </c>
      <c r="D34" s="50">
        <v>3</v>
      </c>
      <c r="E34" s="51">
        <f>4095*C34</f>
        <v>2047.5</v>
      </c>
      <c r="F34" s="50"/>
      <c r="G34" s="51">
        <f t="shared" si="1"/>
        <v>2047.5</v>
      </c>
      <c r="H34" s="51"/>
      <c r="I34" s="51"/>
      <c r="J34" s="51"/>
      <c r="K34" s="51"/>
      <c r="L34" s="51"/>
      <c r="M34" s="51"/>
      <c r="N34" s="51"/>
      <c r="O34" s="51"/>
      <c r="P34" s="51">
        <f>8647*C34-G34</f>
        <v>2276</v>
      </c>
      <c r="Q34" s="51"/>
      <c r="R34" s="51">
        <f>G34+H34+I34+ J34+K34+L34+N34+O34+P34</f>
        <v>4323.5</v>
      </c>
      <c r="S34" s="53">
        <f t="shared" si="5"/>
        <v>21617.5</v>
      </c>
    </row>
    <row r="35" spans="1:19" ht="12.6" customHeight="1" x14ac:dyDescent="0.25">
      <c r="A35" s="48" t="s">
        <v>73</v>
      </c>
      <c r="B35" s="49" t="s">
        <v>74</v>
      </c>
      <c r="C35" s="50">
        <v>1</v>
      </c>
      <c r="D35" s="50">
        <v>2</v>
      </c>
      <c r="E35" s="51">
        <f>3782*C35</f>
        <v>3782</v>
      </c>
      <c r="F35" s="50">
        <f>E35*0.2</f>
        <v>756.40000000000009</v>
      </c>
      <c r="G35" s="51">
        <f t="shared" si="1"/>
        <v>4538.3999999999996</v>
      </c>
      <c r="H35" s="51"/>
      <c r="I35" s="51"/>
      <c r="J35" s="51">
        <f>G35*4%</f>
        <v>181.536</v>
      </c>
      <c r="K35" s="51"/>
      <c r="L35" s="51"/>
      <c r="M35" s="51"/>
      <c r="N35" s="51"/>
      <c r="O35" s="51"/>
      <c r="P35" s="51">
        <f>8647-E35</f>
        <v>4865</v>
      </c>
      <c r="Q35" s="51"/>
      <c r="R35" s="51">
        <f>G35+J35+P35</f>
        <v>9584.9359999999997</v>
      </c>
      <c r="S35" s="53">
        <f t="shared" si="5"/>
        <v>47924.68</v>
      </c>
    </row>
    <row r="36" spans="1:19" ht="18" customHeight="1" x14ac:dyDescent="0.25">
      <c r="A36" s="48" t="s">
        <v>75</v>
      </c>
      <c r="B36" s="49" t="s">
        <v>76</v>
      </c>
      <c r="C36" s="50">
        <v>1</v>
      </c>
      <c r="D36" s="50">
        <v>1</v>
      </c>
      <c r="E36" s="51">
        <f>3470*C36</f>
        <v>3470</v>
      </c>
      <c r="F36" s="50"/>
      <c r="G36" s="51">
        <f t="shared" si="1"/>
        <v>3470</v>
      </c>
      <c r="H36" s="51"/>
      <c r="I36" s="51"/>
      <c r="J36" s="51"/>
      <c r="K36" s="51"/>
      <c r="L36" s="51"/>
      <c r="M36" s="51"/>
      <c r="N36" s="51"/>
      <c r="O36" s="51"/>
      <c r="P36" s="51">
        <f>8647-G36</f>
        <v>5177</v>
      </c>
      <c r="Q36" s="51"/>
      <c r="R36" s="51">
        <f t="shared" ref="R36" si="7">G36+H36+I36+ J36+K36+L36+N36+O36+P36</f>
        <v>8647</v>
      </c>
      <c r="S36" s="53">
        <f t="shared" si="5"/>
        <v>43235</v>
      </c>
    </row>
    <row r="37" spans="1:19" x14ac:dyDescent="0.25">
      <c r="A37" s="48" t="s">
        <v>77</v>
      </c>
      <c r="B37" s="49" t="s">
        <v>78</v>
      </c>
      <c r="C37" s="50">
        <v>1</v>
      </c>
      <c r="D37" s="50">
        <v>5</v>
      </c>
      <c r="E37" s="51">
        <f>4719*C37</f>
        <v>4719</v>
      </c>
      <c r="F37" s="51"/>
      <c r="G37" s="51">
        <f>E37+F37</f>
        <v>4719</v>
      </c>
      <c r="H37" s="51"/>
      <c r="I37" s="51"/>
      <c r="J37" s="51"/>
      <c r="K37" s="51"/>
      <c r="L37" s="51"/>
      <c r="M37" s="51"/>
      <c r="N37" s="51"/>
      <c r="O37" s="51"/>
      <c r="P37" s="51">
        <f>8647-G37</f>
        <v>3928</v>
      </c>
      <c r="Q37" s="63"/>
      <c r="R37" s="51">
        <f>G37+P37</f>
        <v>8647</v>
      </c>
      <c r="S37" s="53">
        <f t="shared" si="5"/>
        <v>43235</v>
      </c>
    </row>
    <row r="38" spans="1:19" s="61" customFormat="1" ht="20.399999999999999" customHeight="1" thickBot="1" x14ac:dyDescent="0.3">
      <c r="A38" s="48"/>
      <c r="B38" s="56" t="s">
        <v>59</v>
      </c>
      <c r="C38" s="57">
        <f>SUM(C29:C37)</f>
        <v>8.5</v>
      </c>
      <c r="D38" s="57"/>
      <c r="E38" s="58">
        <f>SUM(E29:E37)</f>
        <v>34961</v>
      </c>
      <c r="F38" s="57">
        <f>SUM(F29:F37)</f>
        <v>756.40000000000009</v>
      </c>
      <c r="G38" s="58">
        <f>E38+F38</f>
        <v>35717.4</v>
      </c>
      <c r="H38" s="58"/>
      <c r="I38" s="58">
        <f>SUM(I29:I36)</f>
        <v>0</v>
      </c>
      <c r="J38" s="58">
        <f>SUM(J29:J36)</f>
        <v>181.536</v>
      </c>
      <c r="K38" s="58"/>
      <c r="L38" s="58"/>
      <c r="M38" s="58"/>
      <c r="N38" s="58"/>
      <c r="O38" s="58"/>
      <c r="P38" s="58">
        <f>SUM(P29:P37)</f>
        <v>38538.5</v>
      </c>
      <c r="Q38" s="58"/>
      <c r="R38" s="58">
        <f>SUM(R29:R37)</f>
        <v>74437.436000000002</v>
      </c>
      <c r="S38" s="64">
        <f>SUM(S29:S37)</f>
        <v>372187.18</v>
      </c>
    </row>
    <row r="39" spans="1:19" ht="15.6" customHeight="1" x14ac:dyDescent="0.25">
      <c r="A39" s="48"/>
      <c r="B39" s="45" t="s">
        <v>79</v>
      </c>
      <c r="C39" s="65"/>
      <c r="D39" s="65"/>
      <c r="E39" s="65"/>
      <c r="F39" s="65"/>
      <c r="G39" s="66"/>
      <c r="H39" s="65" t="s">
        <v>80</v>
      </c>
      <c r="I39" s="67"/>
      <c r="J39" s="67"/>
      <c r="K39" s="65"/>
      <c r="L39" s="67"/>
      <c r="M39" s="67"/>
      <c r="N39" s="67"/>
      <c r="O39" s="67"/>
      <c r="P39" s="67"/>
      <c r="Q39" s="65"/>
      <c r="R39" s="65"/>
      <c r="S39" s="68"/>
    </row>
    <row r="40" spans="1:19" s="23" customFormat="1" x14ac:dyDescent="0.25">
      <c r="A40" s="48" t="s">
        <v>81</v>
      </c>
      <c r="B40" s="49" t="s">
        <v>82</v>
      </c>
      <c r="C40" s="50">
        <v>2.5</v>
      </c>
      <c r="D40" s="50">
        <v>2</v>
      </c>
      <c r="E40" s="51">
        <f>3782*C40</f>
        <v>9455</v>
      </c>
      <c r="F40" s="50"/>
      <c r="G40" s="51">
        <f t="shared" ref="G40:G41" si="8">E40+F40</f>
        <v>9455</v>
      </c>
      <c r="H40" s="51"/>
      <c r="I40" s="51"/>
      <c r="J40" s="51"/>
      <c r="K40" s="51"/>
      <c r="L40" s="51"/>
      <c r="M40" s="51"/>
      <c r="N40" s="51"/>
      <c r="O40" s="51"/>
      <c r="P40" s="51">
        <f>8647*C40-G40</f>
        <v>12162.5</v>
      </c>
      <c r="Q40" s="51"/>
      <c r="R40" s="51">
        <f t="shared" ref="R40" si="9">G40+H40+I40+ J40+K40+L40+N40+O40+P40</f>
        <v>21617.5</v>
      </c>
      <c r="S40" s="53">
        <f>R40*5</f>
        <v>108087.5</v>
      </c>
    </row>
    <row r="41" spans="1:19" s="70" customFormat="1" ht="16.8" customHeight="1" thickBot="1" x14ac:dyDescent="0.3">
      <c r="A41" s="69"/>
      <c r="B41" s="56" t="s">
        <v>59</v>
      </c>
      <c r="C41" s="57">
        <f>SUM(C40:C40)</f>
        <v>2.5</v>
      </c>
      <c r="D41" s="57"/>
      <c r="E41" s="58">
        <f>SUM(E40:E40)</f>
        <v>9455</v>
      </c>
      <c r="F41" s="57"/>
      <c r="G41" s="58">
        <f t="shared" si="8"/>
        <v>9455</v>
      </c>
      <c r="H41" s="58"/>
      <c r="I41" s="58"/>
      <c r="J41" s="58"/>
      <c r="K41" s="58"/>
      <c r="L41" s="58"/>
      <c r="M41" s="58"/>
      <c r="N41" s="58"/>
      <c r="O41" s="58"/>
      <c r="P41" s="58">
        <f>SUM(P40:P40)</f>
        <v>12162.5</v>
      </c>
      <c r="Q41" s="58"/>
      <c r="R41" s="58">
        <f>SUM(G41:Q41)</f>
        <v>21617.5</v>
      </c>
      <c r="S41" s="64">
        <f>SUM(S40:S40)</f>
        <v>108087.5</v>
      </c>
    </row>
    <row r="42" spans="1:19" s="71" customFormat="1" ht="17.399999999999999" customHeight="1" x14ac:dyDescent="0.25">
      <c r="A42" s="44"/>
      <c r="B42" s="45" t="s">
        <v>83</v>
      </c>
      <c r="C42" s="45"/>
      <c r="D42" s="45"/>
      <c r="E42" s="45"/>
      <c r="F42" s="45"/>
      <c r="G42" s="66"/>
      <c r="H42" s="45"/>
      <c r="I42" s="46"/>
      <c r="J42" s="46"/>
      <c r="K42" s="45"/>
      <c r="L42" s="46"/>
      <c r="M42" s="46"/>
      <c r="N42" s="46"/>
      <c r="O42" s="46"/>
      <c r="P42" s="46"/>
      <c r="Q42" s="45"/>
      <c r="R42" s="45"/>
      <c r="S42" s="47"/>
    </row>
    <row r="43" spans="1:19" s="71" customFormat="1" ht="16.95" customHeight="1" x14ac:dyDescent="0.25">
      <c r="A43" s="48" t="s">
        <v>84</v>
      </c>
      <c r="B43" s="49" t="s">
        <v>66</v>
      </c>
      <c r="C43" s="50">
        <v>0.5</v>
      </c>
      <c r="D43" s="50">
        <v>1</v>
      </c>
      <c r="E43" s="50">
        <f>3470*C43</f>
        <v>1735</v>
      </c>
      <c r="F43" s="50"/>
      <c r="G43" s="50">
        <f>E43+F43</f>
        <v>1735</v>
      </c>
      <c r="H43" s="50"/>
      <c r="I43" s="52"/>
      <c r="J43" s="52"/>
      <c r="K43" s="50"/>
      <c r="L43" s="52"/>
      <c r="M43" s="52"/>
      <c r="N43" s="52"/>
      <c r="O43" s="52"/>
      <c r="P43" s="51">
        <f>8647*C43-E43</f>
        <v>2588.5</v>
      </c>
      <c r="Q43" s="50"/>
      <c r="R43" s="51">
        <f t="shared" ref="R43" si="10">G43+H43+I43+ J43+K43+L43+N43+O43+P43</f>
        <v>4323.5</v>
      </c>
      <c r="S43" s="53">
        <f>R43*5</f>
        <v>21617.5</v>
      </c>
    </row>
    <row r="44" spans="1:19" x14ac:dyDescent="0.25">
      <c r="A44" s="48" t="s">
        <v>85</v>
      </c>
      <c r="B44" s="49" t="s">
        <v>86</v>
      </c>
      <c r="C44" s="50">
        <v>2</v>
      </c>
      <c r="D44" s="50">
        <v>4</v>
      </c>
      <c r="E44" s="51">
        <f>4407*C44</f>
        <v>8814</v>
      </c>
      <c r="F44" s="50"/>
      <c r="G44" s="51">
        <f t="shared" ref="G44:G45" si="11">E44+F44</f>
        <v>8814</v>
      </c>
      <c r="H44" s="51"/>
      <c r="I44" s="51"/>
      <c r="J44" s="51">
        <f>G44*0.04</f>
        <v>352.56</v>
      </c>
      <c r="K44" s="51"/>
      <c r="L44" s="51"/>
      <c r="M44" s="51"/>
      <c r="N44" s="51"/>
      <c r="O44" s="51"/>
      <c r="P44" s="51">
        <f>8647*C44-G44</f>
        <v>8480</v>
      </c>
      <c r="Q44" s="51"/>
      <c r="R44" s="51">
        <f>SUM(G44:P44)</f>
        <v>17646.559999999998</v>
      </c>
      <c r="S44" s="53">
        <f t="shared" ref="S44:S45" si="12">R44*5</f>
        <v>88232.799999999988</v>
      </c>
    </row>
    <row r="45" spans="1:19" x14ac:dyDescent="0.25">
      <c r="A45" s="48" t="s">
        <v>87</v>
      </c>
      <c r="B45" s="49" t="s">
        <v>88</v>
      </c>
      <c r="C45" s="50">
        <v>2</v>
      </c>
      <c r="D45" s="50">
        <v>1</v>
      </c>
      <c r="E45" s="51">
        <f>3470*C45</f>
        <v>6940</v>
      </c>
      <c r="F45" s="50"/>
      <c r="G45" s="51">
        <f t="shared" si="11"/>
        <v>6940</v>
      </c>
      <c r="H45" s="51"/>
      <c r="I45" s="51">
        <f>G45*0.1</f>
        <v>694</v>
      </c>
      <c r="J45" s="51"/>
      <c r="K45" s="51"/>
      <c r="L45" s="51"/>
      <c r="M45" s="51"/>
      <c r="N45" s="51"/>
      <c r="O45" s="51"/>
      <c r="P45" s="51">
        <f>8647*C45-G45</f>
        <v>10354</v>
      </c>
      <c r="Q45" s="51"/>
      <c r="R45" s="51">
        <f>SUM(G45:P45)</f>
        <v>17988</v>
      </c>
      <c r="S45" s="53">
        <f t="shared" si="12"/>
        <v>89940</v>
      </c>
    </row>
    <row r="46" spans="1:19" s="70" customFormat="1" ht="18" customHeight="1" thickBot="1" x14ac:dyDescent="0.3">
      <c r="A46" s="69"/>
      <c r="B46" s="56" t="s">
        <v>59</v>
      </c>
      <c r="C46" s="57">
        <f>SUM(C43:C45)</f>
        <v>4.5</v>
      </c>
      <c r="D46" s="57"/>
      <c r="E46" s="58">
        <f>SUM(E43:E45)</f>
        <v>17489</v>
      </c>
      <c r="F46" s="57"/>
      <c r="G46" s="58">
        <f>SUM(G43:G45)</f>
        <v>17489</v>
      </c>
      <c r="H46" s="58"/>
      <c r="I46" s="58">
        <f>SUM(I45:I45)</f>
        <v>694</v>
      </c>
      <c r="J46" s="58">
        <f>SUM(J44:J45)</f>
        <v>352.56</v>
      </c>
      <c r="K46" s="58"/>
      <c r="L46" s="58"/>
      <c r="M46" s="58"/>
      <c r="N46" s="58"/>
      <c r="O46" s="58"/>
      <c r="P46" s="58">
        <f>SUM(P43:P45)</f>
        <v>21422.5</v>
      </c>
      <c r="Q46" s="58"/>
      <c r="R46" s="58">
        <f>SUM(R43:R45)</f>
        <v>39958.06</v>
      </c>
      <c r="S46" s="64">
        <f>SUM(S43:S45)</f>
        <v>199790.3</v>
      </c>
    </row>
    <row r="47" spans="1:19" s="77" customFormat="1" ht="13.5" customHeight="1" x14ac:dyDescent="0.25">
      <c r="A47" s="72" t="s">
        <v>89</v>
      </c>
      <c r="B47" s="73" t="s">
        <v>90</v>
      </c>
      <c r="C47" s="74"/>
      <c r="D47" s="74"/>
      <c r="E47" s="75"/>
      <c r="F47" s="74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6"/>
    </row>
    <row r="48" spans="1:19" s="81" customFormat="1" x14ac:dyDescent="0.25">
      <c r="A48" s="78" t="s">
        <v>91</v>
      </c>
      <c r="B48" s="49" t="s">
        <v>92</v>
      </c>
      <c r="C48" s="50">
        <v>0.5</v>
      </c>
      <c r="D48" s="50">
        <v>10</v>
      </c>
      <c r="E48" s="51">
        <f>6315*C48</f>
        <v>3157.5</v>
      </c>
      <c r="F48" s="50"/>
      <c r="G48" s="51">
        <f>E48</f>
        <v>3157.5</v>
      </c>
      <c r="H48" s="51"/>
      <c r="I48" s="51"/>
      <c r="J48" s="79"/>
      <c r="K48" s="51">
        <f>G48*0.3</f>
        <v>947.25</v>
      </c>
      <c r="L48" s="80">
        <f>20000*C48-G48-K48</f>
        <v>5895.25</v>
      </c>
      <c r="M48" s="51"/>
      <c r="N48" s="51"/>
      <c r="O48" s="51"/>
      <c r="P48" s="51"/>
      <c r="Q48" s="51"/>
      <c r="R48" s="51">
        <f>G48+K48+L48</f>
        <v>10000</v>
      </c>
      <c r="S48" s="53">
        <f>R48*5</f>
        <v>50000</v>
      </c>
    </row>
    <row r="49" spans="1:20" s="81" customFormat="1" x14ac:dyDescent="0.25">
      <c r="A49" s="78" t="s">
        <v>93</v>
      </c>
      <c r="B49" s="49" t="s">
        <v>94</v>
      </c>
      <c r="C49" s="50">
        <v>3</v>
      </c>
      <c r="D49" s="50">
        <v>9</v>
      </c>
      <c r="E49" s="51">
        <f>6003*C49</f>
        <v>18009</v>
      </c>
      <c r="F49" s="50"/>
      <c r="G49" s="51">
        <f>E49</f>
        <v>18009</v>
      </c>
      <c r="H49" s="51"/>
      <c r="I49" s="51"/>
      <c r="J49" s="79"/>
      <c r="K49" s="51"/>
      <c r="L49" s="80">
        <f>15000*C49-G49-K49</f>
        <v>26991</v>
      </c>
      <c r="M49" s="51"/>
      <c r="N49" s="51"/>
      <c r="O49" s="51"/>
      <c r="P49" s="51"/>
      <c r="Q49" s="51"/>
      <c r="R49" s="51">
        <f>G49+K49+L49</f>
        <v>45000</v>
      </c>
      <c r="S49" s="53">
        <f t="shared" ref="S49:S54" si="13">R49*5</f>
        <v>225000</v>
      </c>
    </row>
    <row r="50" spans="1:20" s="81" customFormat="1" x14ac:dyDescent="0.25">
      <c r="A50" s="78" t="s">
        <v>95</v>
      </c>
      <c r="B50" s="49" t="s">
        <v>96</v>
      </c>
      <c r="C50" s="50">
        <v>1</v>
      </c>
      <c r="D50" s="50">
        <v>10</v>
      </c>
      <c r="E50" s="51">
        <f>6315*C50</f>
        <v>6315</v>
      </c>
      <c r="F50" s="50"/>
      <c r="G50" s="51">
        <f>E50</f>
        <v>6315</v>
      </c>
      <c r="H50" s="51"/>
      <c r="I50" s="51"/>
      <c r="J50" s="79"/>
      <c r="K50" s="51">
        <f>G50*0.3</f>
        <v>1894.5</v>
      </c>
      <c r="L50" s="80">
        <f>13500-G50-K50</f>
        <v>5290.5</v>
      </c>
      <c r="M50" s="51"/>
      <c r="N50" s="51"/>
      <c r="O50" s="51"/>
      <c r="P50" s="51"/>
      <c r="Q50" s="51"/>
      <c r="R50" s="51">
        <f>G50+K50+L50</f>
        <v>13500</v>
      </c>
      <c r="S50" s="53">
        <f t="shared" si="13"/>
        <v>67500</v>
      </c>
    </row>
    <row r="51" spans="1:20" s="81" customFormat="1" x14ac:dyDescent="0.25">
      <c r="A51" s="78" t="s">
        <v>97</v>
      </c>
      <c r="B51" s="49" t="s">
        <v>98</v>
      </c>
      <c r="C51" s="50">
        <v>1</v>
      </c>
      <c r="D51" s="50">
        <v>4</v>
      </c>
      <c r="E51" s="51">
        <f>4407*C51</f>
        <v>4407</v>
      </c>
      <c r="F51" s="50"/>
      <c r="G51" s="51">
        <f>E51</f>
        <v>4407</v>
      </c>
      <c r="H51" s="51"/>
      <c r="I51" s="51"/>
      <c r="J51" s="79"/>
      <c r="K51" s="51"/>
      <c r="L51" s="51"/>
      <c r="M51" s="51"/>
      <c r="N51" s="51"/>
      <c r="O51" s="51">
        <f>G51*200%</f>
        <v>8814</v>
      </c>
      <c r="P51" s="51"/>
      <c r="Q51" s="51"/>
      <c r="R51" s="51">
        <f>O51+G51</f>
        <v>13221</v>
      </c>
      <c r="S51" s="53">
        <f t="shared" si="13"/>
        <v>66105</v>
      </c>
    </row>
    <row r="52" spans="1:20" s="81" customFormat="1" x14ac:dyDescent="0.25">
      <c r="A52" s="78" t="s">
        <v>99</v>
      </c>
      <c r="B52" s="49" t="s">
        <v>100</v>
      </c>
      <c r="C52" s="50">
        <v>1</v>
      </c>
      <c r="D52" s="50">
        <v>9</v>
      </c>
      <c r="E52" s="51">
        <f>6003*C52</f>
        <v>6003</v>
      </c>
      <c r="F52" s="51"/>
      <c r="G52" s="51">
        <f>E52+F52</f>
        <v>6003</v>
      </c>
      <c r="H52" s="51"/>
      <c r="I52" s="51"/>
      <c r="J52" s="51"/>
      <c r="K52" s="51"/>
      <c r="L52" s="51"/>
      <c r="M52" s="51"/>
      <c r="N52" s="51"/>
      <c r="O52" s="51"/>
      <c r="P52" s="51">
        <f>8647-G52</f>
        <v>2644</v>
      </c>
      <c r="Q52" s="63"/>
      <c r="R52" s="51">
        <f>G52+P52</f>
        <v>8647</v>
      </c>
      <c r="S52" s="53">
        <f t="shared" si="13"/>
        <v>43235</v>
      </c>
    </row>
    <row r="53" spans="1:20" s="81" customFormat="1" x14ac:dyDescent="0.25">
      <c r="A53" s="78" t="s">
        <v>101</v>
      </c>
      <c r="B53" s="49" t="s">
        <v>102</v>
      </c>
      <c r="C53" s="50">
        <v>1</v>
      </c>
      <c r="D53" s="50">
        <v>5</v>
      </c>
      <c r="E53" s="51">
        <f>4719*C53</f>
        <v>4719</v>
      </c>
      <c r="F53" s="51"/>
      <c r="G53" s="51">
        <f>E53+F53</f>
        <v>4719</v>
      </c>
      <c r="H53" s="51"/>
      <c r="I53" s="51"/>
      <c r="J53" s="51"/>
      <c r="K53" s="51"/>
      <c r="L53" s="51"/>
      <c r="M53" s="51"/>
      <c r="N53" s="51"/>
      <c r="O53" s="51"/>
      <c r="P53" s="51">
        <f>8647-G53</f>
        <v>3928</v>
      </c>
      <c r="Q53" s="63"/>
      <c r="R53" s="51">
        <f>G53+P53</f>
        <v>8647</v>
      </c>
      <c r="S53" s="53">
        <f t="shared" si="13"/>
        <v>43235</v>
      </c>
    </row>
    <row r="54" spans="1:20" x14ac:dyDescent="0.25">
      <c r="A54" s="78" t="s">
        <v>103</v>
      </c>
      <c r="B54" s="49" t="s">
        <v>104</v>
      </c>
      <c r="C54" s="50">
        <v>0.5</v>
      </c>
      <c r="D54" s="50">
        <v>9</v>
      </c>
      <c r="E54" s="51">
        <f>6003*C54</f>
        <v>3001.5</v>
      </c>
      <c r="F54" s="50"/>
      <c r="G54" s="51">
        <f t="shared" ref="G54" si="14">E54+F54</f>
        <v>3001.5</v>
      </c>
      <c r="H54" s="51"/>
      <c r="I54" s="51"/>
      <c r="J54" s="51"/>
      <c r="K54" s="51">
        <f>G54*0.3</f>
        <v>900.44999999999993</v>
      </c>
      <c r="L54" s="51">
        <f>6750-G54-K54</f>
        <v>2848.05</v>
      </c>
      <c r="M54" s="51"/>
      <c r="N54" s="51"/>
      <c r="O54" s="51"/>
      <c r="P54" s="51"/>
      <c r="Q54" s="51"/>
      <c r="R54" s="51">
        <f>L54+K54+G54</f>
        <v>6750</v>
      </c>
      <c r="S54" s="53">
        <f t="shared" si="13"/>
        <v>33750</v>
      </c>
    </row>
    <row r="55" spans="1:20" s="87" customFormat="1" ht="13.8" customHeight="1" thickBot="1" x14ac:dyDescent="0.25">
      <c r="A55" s="82"/>
      <c r="B55" s="83" t="s">
        <v>59</v>
      </c>
      <c r="C55" s="84">
        <f>SUM(C48:C54)</f>
        <v>8</v>
      </c>
      <c r="D55" s="84"/>
      <c r="E55" s="85">
        <f>SUM(E48:E54)</f>
        <v>45612</v>
      </c>
      <c r="F55" s="84"/>
      <c r="G55" s="85">
        <f>SUM(G48:G54)</f>
        <v>45612</v>
      </c>
      <c r="H55" s="85"/>
      <c r="I55" s="85"/>
      <c r="J55" s="85"/>
      <c r="K55" s="85">
        <f>SUM(K48:K54)</f>
        <v>3742.2</v>
      </c>
      <c r="L55" s="85">
        <f>SUM(L48:L54)</f>
        <v>41024.800000000003</v>
      </c>
      <c r="M55" s="85"/>
      <c r="N55" s="85"/>
      <c r="O55" s="85">
        <f>SUM(O48:O53)</f>
        <v>8814</v>
      </c>
      <c r="P55" s="85">
        <f>SUM(P48:P54)</f>
        <v>6572</v>
      </c>
      <c r="Q55" s="85"/>
      <c r="R55" s="85">
        <f>SUM(R48:R54)</f>
        <v>105765</v>
      </c>
      <c r="S55" s="86">
        <f>SUM(S48:S54)</f>
        <v>528825</v>
      </c>
    </row>
    <row r="56" spans="1:20" s="71" customFormat="1" ht="22.8" customHeight="1" x14ac:dyDescent="0.25">
      <c r="A56" s="88"/>
      <c r="B56" s="45" t="s">
        <v>105</v>
      </c>
      <c r="C56" s="65"/>
      <c r="D56" s="65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89"/>
      <c r="R56" s="66"/>
      <c r="S56" s="90"/>
      <c r="T56" s="91"/>
    </row>
    <row r="57" spans="1:20" s="71" customFormat="1" x14ac:dyDescent="0.25">
      <c r="A57" s="78" t="s">
        <v>106</v>
      </c>
      <c r="B57" s="49" t="s">
        <v>107</v>
      </c>
      <c r="C57" s="50">
        <v>0.25</v>
      </c>
      <c r="D57" s="50">
        <v>14</v>
      </c>
      <c r="E57" s="51">
        <f>8397*C57</f>
        <v>2099.25</v>
      </c>
      <c r="F57" s="51">
        <f>E57*10%</f>
        <v>209.92500000000001</v>
      </c>
      <c r="G57" s="51">
        <f>E57+F57</f>
        <v>2309.1750000000002</v>
      </c>
      <c r="H57" s="51"/>
      <c r="I57" s="51"/>
      <c r="J57" s="51"/>
      <c r="K57" s="51">
        <f>G57*0.3</f>
        <v>692.75250000000005</v>
      </c>
      <c r="L57" s="51">
        <f>20000*C57-G57-K57</f>
        <v>1998.0724999999998</v>
      </c>
      <c r="M57" s="51"/>
      <c r="N57" s="51"/>
      <c r="O57" s="51"/>
      <c r="P57" s="51"/>
      <c r="Q57" s="63"/>
      <c r="R57" s="51">
        <f>G57+K57+L57</f>
        <v>5000</v>
      </c>
      <c r="S57" s="53">
        <f>R57*5</f>
        <v>25000</v>
      </c>
      <c r="T57" s="91"/>
    </row>
    <row r="58" spans="1:20" s="71" customFormat="1" x14ac:dyDescent="0.25">
      <c r="A58" s="78" t="s">
        <v>108</v>
      </c>
      <c r="B58" s="49" t="s">
        <v>109</v>
      </c>
      <c r="C58" s="50">
        <v>0.5</v>
      </c>
      <c r="D58" s="50">
        <v>13</v>
      </c>
      <c r="E58" s="51">
        <f>7877*C58</f>
        <v>3938.5</v>
      </c>
      <c r="F58" s="51">
        <f>E58*0.15</f>
        <v>590.77499999999998</v>
      </c>
      <c r="G58" s="51">
        <f>E58+F58</f>
        <v>4529.2749999999996</v>
      </c>
      <c r="H58" s="51"/>
      <c r="I58" s="51"/>
      <c r="J58" s="51"/>
      <c r="K58" s="51">
        <f>G58*0.3</f>
        <v>1358.7824999999998</v>
      </c>
      <c r="L58" s="51">
        <f>20000*C58-G58-K58</f>
        <v>4111.942500000001</v>
      </c>
      <c r="M58" s="51"/>
      <c r="N58" s="51"/>
      <c r="O58" s="51"/>
      <c r="P58" s="51"/>
      <c r="Q58" s="63"/>
      <c r="R58" s="51">
        <f>G58+K58+L58</f>
        <v>10000</v>
      </c>
      <c r="S58" s="53">
        <f t="shared" ref="S58:S60" si="15">R58*5</f>
        <v>50000</v>
      </c>
      <c r="T58" s="91"/>
    </row>
    <row r="59" spans="1:20" s="71" customFormat="1" x14ac:dyDescent="0.25">
      <c r="A59" s="78" t="s">
        <v>110</v>
      </c>
      <c r="B59" s="49" t="s">
        <v>111</v>
      </c>
      <c r="C59" s="50">
        <v>0.5</v>
      </c>
      <c r="D59" s="50">
        <v>13</v>
      </c>
      <c r="E59" s="51">
        <f>7877*C59</f>
        <v>3938.5</v>
      </c>
      <c r="F59" s="51">
        <f>E59*0.15</f>
        <v>590.77499999999998</v>
      </c>
      <c r="G59" s="51">
        <f>E59+F59</f>
        <v>4529.2749999999996</v>
      </c>
      <c r="H59" s="51"/>
      <c r="I59" s="51"/>
      <c r="J59" s="51"/>
      <c r="K59" s="51">
        <f>G59*0.3</f>
        <v>1358.7824999999998</v>
      </c>
      <c r="L59" s="51">
        <f>10000-G59-K59</f>
        <v>4111.942500000001</v>
      </c>
      <c r="M59" s="51"/>
      <c r="N59" s="51"/>
      <c r="O59" s="51"/>
      <c r="P59" s="51"/>
      <c r="Q59" s="63"/>
      <c r="R59" s="51">
        <f>G59+K59+L59</f>
        <v>10000</v>
      </c>
      <c r="S59" s="53">
        <f t="shared" si="15"/>
        <v>50000</v>
      </c>
      <c r="T59" s="91"/>
    </row>
    <row r="60" spans="1:20" s="71" customFormat="1" x14ac:dyDescent="0.25">
      <c r="A60" s="78" t="s">
        <v>112</v>
      </c>
      <c r="B60" s="49" t="s">
        <v>113</v>
      </c>
      <c r="C60" s="50">
        <v>1</v>
      </c>
      <c r="D60" s="50">
        <v>5</v>
      </c>
      <c r="E60" s="51">
        <f>4719*C60</f>
        <v>4719</v>
      </c>
      <c r="F60" s="51"/>
      <c r="G60" s="51">
        <f>E60+F60</f>
        <v>4719</v>
      </c>
      <c r="H60" s="51"/>
      <c r="I60" s="51"/>
      <c r="J60" s="51"/>
      <c r="K60" s="51"/>
      <c r="L60" s="51"/>
      <c r="M60" s="51"/>
      <c r="N60" s="51"/>
      <c r="O60" s="51"/>
      <c r="P60" s="51">
        <f>8647-G60</f>
        <v>3928</v>
      </c>
      <c r="Q60" s="63"/>
      <c r="R60" s="51">
        <f>G60+P60</f>
        <v>8647</v>
      </c>
      <c r="S60" s="53">
        <f t="shared" si="15"/>
        <v>43235</v>
      </c>
      <c r="T60" s="91"/>
    </row>
    <row r="61" spans="1:20" s="93" customFormat="1" ht="20.399999999999999" customHeight="1" thickBot="1" x14ac:dyDescent="0.3">
      <c r="A61" s="55"/>
      <c r="B61" s="56" t="s">
        <v>59</v>
      </c>
      <c r="C61" s="57">
        <v>2.25</v>
      </c>
      <c r="D61" s="57"/>
      <c r="E61" s="58">
        <f>SUM(E57:E60)</f>
        <v>14695.25</v>
      </c>
      <c r="F61" s="58">
        <f t="shared" ref="F61" si="16">SUM(F57:F60)</f>
        <v>1391.4749999999999</v>
      </c>
      <c r="G61" s="58">
        <f>SUM(G57:G60)</f>
        <v>16086.724999999999</v>
      </c>
      <c r="H61" s="58"/>
      <c r="I61" s="58"/>
      <c r="J61" s="58"/>
      <c r="K61" s="58">
        <f t="shared" ref="K61:L61" si="17">SUM(K57:K60)</f>
        <v>3410.3174999999997</v>
      </c>
      <c r="L61" s="58">
        <f t="shared" si="17"/>
        <v>10221.957500000002</v>
      </c>
      <c r="M61" s="58"/>
      <c r="N61" s="58"/>
      <c r="O61" s="58"/>
      <c r="P61" s="58">
        <f t="shared" ref="P61:Q61" si="18">SUM(P57:P60)</f>
        <v>3928</v>
      </c>
      <c r="Q61" s="58">
        <f t="shared" si="18"/>
        <v>0</v>
      </c>
      <c r="R61" s="58">
        <f>SUM(G61:Q61)</f>
        <v>33647</v>
      </c>
      <c r="S61" s="64">
        <f>SUM(S57:S60)</f>
        <v>168235</v>
      </c>
      <c r="T61" s="92"/>
    </row>
    <row r="62" spans="1:20" ht="24" customHeight="1" x14ac:dyDescent="0.25">
      <c r="A62" s="44"/>
      <c r="B62" s="45" t="s">
        <v>114</v>
      </c>
      <c r="C62" s="45"/>
      <c r="D62" s="45"/>
      <c r="E62" s="62"/>
      <c r="F62" s="45"/>
      <c r="G62" s="66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94"/>
    </row>
    <row r="63" spans="1:20" s="23" customFormat="1" ht="38.4" customHeight="1" x14ac:dyDescent="0.2">
      <c r="A63" s="95"/>
      <c r="B63" s="96" t="s">
        <v>115</v>
      </c>
      <c r="C63" s="50"/>
      <c r="D63" s="50"/>
      <c r="E63" s="51"/>
      <c r="F63" s="50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3"/>
    </row>
    <row r="64" spans="1:20" ht="13.95" customHeight="1" x14ac:dyDescent="0.25">
      <c r="A64" s="48" t="s">
        <v>116</v>
      </c>
      <c r="B64" s="49" t="s">
        <v>117</v>
      </c>
      <c r="C64" s="50">
        <v>1</v>
      </c>
      <c r="D64" s="50">
        <v>11</v>
      </c>
      <c r="E64" s="51">
        <f>6836*C64</f>
        <v>6836</v>
      </c>
      <c r="F64" s="50">
        <f>E64*0.25</f>
        <v>1709</v>
      </c>
      <c r="G64" s="51">
        <f t="shared" ref="G64:G127" si="19">E64+F64</f>
        <v>8545</v>
      </c>
      <c r="H64" s="51"/>
      <c r="I64" s="51"/>
      <c r="J64" s="51"/>
      <c r="K64" s="51">
        <f>G64*0.3</f>
        <v>2563.5</v>
      </c>
      <c r="L64" s="80">
        <f>20000-G64-K64</f>
        <v>8891.5</v>
      </c>
      <c r="M64" s="51"/>
      <c r="N64" s="51"/>
      <c r="O64" s="51"/>
      <c r="P64" s="51"/>
      <c r="Q64" s="51"/>
      <c r="R64" s="51">
        <f t="shared" ref="R64:R75" si="20">G64+K64+L64</f>
        <v>20000</v>
      </c>
      <c r="S64" s="53">
        <f>R64*5</f>
        <v>100000</v>
      </c>
    </row>
    <row r="65" spans="1:20" x14ac:dyDescent="0.25">
      <c r="A65" s="48" t="s">
        <v>118</v>
      </c>
      <c r="B65" s="49" t="s">
        <v>119</v>
      </c>
      <c r="C65" s="50">
        <v>1.25</v>
      </c>
      <c r="D65" s="50">
        <v>12</v>
      </c>
      <c r="E65" s="51">
        <f>7356*C65</f>
        <v>9195</v>
      </c>
      <c r="F65" s="50"/>
      <c r="G65" s="51">
        <f t="shared" si="19"/>
        <v>9195</v>
      </c>
      <c r="H65" s="51"/>
      <c r="I65" s="51"/>
      <c r="J65" s="51"/>
      <c r="K65" s="51">
        <f t="shared" ref="K65:K77" si="21">G65*0.3</f>
        <v>2758.5</v>
      </c>
      <c r="L65" s="51">
        <f>20000*C65-G65-K65</f>
        <v>13046.5</v>
      </c>
      <c r="M65" s="51"/>
      <c r="N65" s="51"/>
      <c r="O65" s="51"/>
      <c r="P65" s="51"/>
      <c r="Q65" s="51"/>
      <c r="R65" s="51">
        <f t="shared" si="20"/>
        <v>25000</v>
      </c>
      <c r="S65" s="53">
        <f t="shared" ref="S65:S80" si="22">R65*5</f>
        <v>125000</v>
      </c>
    </row>
    <row r="66" spans="1:20" x14ac:dyDescent="0.25">
      <c r="A66" s="48" t="s">
        <v>120</v>
      </c>
      <c r="B66" s="49" t="s">
        <v>121</v>
      </c>
      <c r="C66" s="50">
        <v>1</v>
      </c>
      <c r="D66" s="50">
        <v>14</v>
      </c>
      <c r="E66" s="51">
        <f>8397*C66</f>
        <v>8397</v>
      </c>
      <c r="F66" s="50"/>
      <c r="G66" s="51">
        <f t="shared" si="19"/>
        <v>8397</v>
      </c>
      <c r="H66" s="51"/>
      <c r="I66" s="51"/>
      <c r="J66" s="51"/>
      <c r="K66" s="51">
        <f t="shared" si="21"/>
        <v>2519.1</v>
      </c>
      <c r="L66" s="80">
        <f>20000-G66-K66</f>
        <v>9083.9</v>
      </c>
      <c r="M66" s="51"/>
      <c r="N66" s="51"/>
      <c r="O66" s="51"/>
      <c r="P66" s="51"/>
      <c r="Q66" s="51"/>
      <c r="R66" s="51">
        <f t="shared" si="20"/>
        <v>20000</v>
      </c>
      <c r="S66" s="53">
        <f t="shared" si="22"/>
        <v>100000</v>
      </c>
    </row>
    <row r="67" spans="1:20" x14ac:dyDescent="0.25">
      <c r="A67" s="48" t="s">
        <v>122</v>
      </c>
      <c r="B67" s="49" t="s">
        <v>123</v>
      </c>
      <c r="C67" s="50">
        <v>0.5</v>
      </c>
      <c r="D67" s="50">
        <v>14</v>
      </c>
      <c r="E67" s="51">
        <f>8397*C67</f>
        <v>4198.5</v>
      </c>
      <c r="F67" s="50"/>
      <c r="G67" s="51">
        <f t="shared" si="19"/>
        <v>4198.5</v>
      </c>
      <c r="H67" s="51"/>
      <c r="I67" s="51"/>
      <c r="J67" s="51"/>
      <c r="K67" s="51">
        <f t="shared" si="21"/>
        <v>1259.55</v>
      </c>
      <c r="L67" s="80">
        <f>20000/2-G67-K67</f>
        <v>4541.95</v>
      </c>
      <c r="M67" s="51"/>
      <c r="N67" s="51"/>
      <c r="O67" s="51"/>
      <c r="P67" s="51"/>
      <c r="Q67" s="51"/>
      <c r="R67" s="51">
        <f t="shared" si="20"/>
        <v>10000</v>
      </c>
      <c r="S67" s="53">
        <f t="shared" si="22"/>
        <v>50000</v>
      </c>
    </row>
    <row r="68" spans="1:20" x14ac:dyDescent="0.25">
      <c r="A68" s="48" t="s">
        <v>124</v>
      </c>
      <c r="B68" s="49" t="s">
        <v>125</v>
      </c>
      <c r="C68" s="50">
        <v>0.25</v>
      </c>
      <c r="D68" s="50">
        <v>14</v>
      </c>
      <c r="E68" s="51">
        <f>8397*C68</f>
        <v>2099.25</v>
      </c>
      <c r="F68" s="50"/>
      <c r="G68" s="51">
        <f t="shared" si="19"/>
        <v>2099.25</v>
      </c>
      <c r="H68" s="51"/>
      <c r="I68" s="51"/>
      <c r="J68" s="51"/>
      <c r="K68" s="51">
        <f t="shared" si="21"/>
        <v>629.77499999999998</v>
      </c>
      <c r="L68" s="80">
        <f>20000*C68-G68-K68</f>
        <v>2270.9749999999999</v>
      </c>
      <c r="M68" s="51"/>
      <c r="N68" s="51"/>
      <c r="O68" s="51"/>
      <c r="P68" s="51"/>
      <c r="Q68" s="51"/>
      <c r="R68" s="51">
        <f t="shared" si="20"/>
        <v>5000</v>
      </c>
      <c r="S68" s="53">
        <f t="shared" si="22"/>
        <v>25000</v>
      </c>
    </row>
    <row r="69" spans="1:20" x14ac:dyDescent="0.25">
      <c r="A69" s="48" t="s">
        <v>126</v>
      </c>
      <c r="B69" s="49" t="s">
        <v>127</v>
      </c>
      <c r="C69" s="50">
        <v>2</v>
      </c>
      <c r="D69" s="50">
        <v>13</v>
      </c>
      <c r="E69" s="51">
        <f>7877*C69</f>
        <v>15754</v>
      </c>
      <c r="F69" s="50"/>
      <c r="G69" s="51">
        <f t="shared" si="19"/>
        <v>15754</v>
      </c>
      <c r="H69" s="51"/>
      <c r="I69" s="51"/>
      <c r="J69" s="51"/>
      <c r="K69" s="51">
        <f t="shared" si="21"/>
        <v>4726.2</v>
      </c>
      <c r="L69" s="80">
        <f t="shared" ref="L69:L74" si="23">20000*C69-G69-K69-N69</f>
        <v>17761.48</v>
      </c>
      <c r="M69" s="51"/>
      <c r="N69" s="51">
        <f>879.16*C69</f>
        <v>1758.32</v>
      </c>
      <c r="O69" s="51"/>
      <c r="P69" s="51"/>
      <c r="Q69" s="51"/>
      <c r="R69" s="51">
        <f t="shared" ref="R69:R74" si="24">G69+K69+L69+N69</f>
        <v>40000</v>
      </c>
      <c r="S69" s="53">
        <f t="shared" si="22"/>
        <v>200000</v>
      </c>
    </row>
    <row r="70" spans="1:20" ht="11.4" customHeight="1" x14ac:dyDescent="0.25">
      <c r="A70" s="48" t="s">
        <v>128</v>
      </c>
      <c r="B70" s="49" t="s">
        <v>129</v>
      </c>
      <c r="C70" s="50">
        <v>0.5</v>
      </c>
      <c r="D70" s="50">
        <v>14</v>
      </c>
      <c r="E70" s="51">
        <f>8397*C70</f>
        <v>4198.5</v>
      </c>
      <c r="F70" s="50"/>
      <c r="G70" s="51">
        <f t="shared" si="19"/>
        <v>4198.5</v>
      </c>
      <c r="H70" s="51"/>
      <c r="I70" s="51"/>
      <c r="J70" s="51"/>
      <c r="K70" s="51">
        <f t="shared" si="21"/>
        <v>1259.55</v>
      </c>
      <c r="L70" s="80">
        <f t="shared" si="23"/>
        <v>4073.35</v>
      </c>
      <c r="M70" s="51"/>
      <c r="N70" s="51">
        <v>468.6</v>
      </c>
      <c r="O70" s="51"/>
      <c r="P70" s="51"/>
      <c r="Q70" s="51"/>
      <c r="R70" s="51">
        <f t="shared" si="24"/>
        <v>10000</v>
      </c>
      <c r="S70" s="53">
        <f t="shared" si="22"/>
        <v>50000</v>
      </c>
    </row>
    <row r="71" spans="1:20" x14ac:dyDescent="0.25">
      <c r="A71" s="48" t="s">
        <v>130</v>
      </c>
      <c r="B71" s="49" t="s">
        <v>131</v>
      </c>
      <c r="C71" s="50">
        <v>0.25</v>
      </c>
      <c r="D71" s="50">
        <v>14</v>
      </c>
      <c r="E71" s="51">
        <f>8397*C71</f>
        <v>2099.25</v>
      </c>
      <c r="F71" s="50"/>
      <c r="G71" s="51">
        <f t="shared" si="19"/>
        <v>2099.25</v>
      </c>
      <c r="H71" s="51"/>
      <c r="I71" s="51"/>
      <c r="J71" s="51"/>
      <c r="K71" s="51">
        <f t="shared" si="21"/>
        <v>629.77499999999998</v>
      </c>
      <c r="L71" s="80">
        <f t="shared" si="23"/>
        <v>2036.675</v>
      </c>
      <c r="M71" s="51"/>
      <c r="N71" s="51">
        <v>234.3</v>
      </c>
      <c r="O71" s="51"/>
      <c r="P71" s="51"/>
      <c r="Q71" s="51"/>
      <c r="R71" s="51">
        <f t="shared" si="24"/>
        <v>5000</v>
      </c>
      <c r="S71" s="53">
        <f t="shared" si="22"/>
        <v>25000</v>
      </c>
    </row>
    <row r="72" spans="1:20" x14ac:dyDescent="0.25">
      <c r="A72" s="48" t="s">
        <v>132</v>
      </c>
      <c r="B72" s="49" t="s">
        <v>133</v>
      </c>
      <c r="C72" s="50">
        <v>0.75</v>
      </c>
      <c r="D72" s="50">
        <v>14</v>
      </c>
      <c r="E72" s="51">
        <f>8397*C72</f>
        <v>6297.75</v>
      </c>
      <c r="F72" s="50"/>
      <c r="G72" s="51">
        <f t="shared" si="19"/>
        <v>6297.75</v>
      </c>
      <c r="H72" s="51"/>
      <c r="I72" s="51"/>
      <c r="J72" s="51"/>
      <c r="K72" s="51">
        <f t="shared" si="21"/>
        <v>1889.3249999999998</v>
      </c>
      <c r="L72" s="80">
        <f t="shared" si="23"/>
        <v>6578.625</v>
      </c>
      <c r="M72" s="51"/>
      <c r="N72" s="51">
        <v>234.3</v>
      </c>
      <c r="O72" s="51"/>
      <c r="P72" s="51"/>
      <c r="Q72" s="51"/>
      <c r="R72" s="51">
        <f t="shared" si="24"/>
        <v>15000</v>
      </c>
      <c r="S72" s="53">
        <f t="shared" si="22"/>
        <v>75000</v>
      </c>
    </row>
    <row r="73" spans="1:20" x14ac:dyDescent="0.25">
      <c r="A73" s="48" t="s">
        <v>134</v>
      </c>
      <c r="B73" s="49" t="s">
        <v>135</v>
      </c>
      <c r="C73" s="50">
        <v>1</v>
      </c>
      <c r="D73" s="50">
        <v>14</v>
      </c>
      <c r="E73" s="51">
        <f>8397*C73</f>
        <v>8397</v>
      </c>
      <c r="F73" s="50"/>
      <c r="G73" s="51">
        <f t="shared" si="19"/>
        <v>8397</v>
      </c>
      <c r="H73" s="51"/>
      <c r="I73" s="51"/>
      <c r="J73" s="51"/>
      <c r="K73" s="51">
        <f t="shared" si="21"/>
        <v>2519.1</v>
      </c>
      <c r="L73" s="80">
        <f t="shared" si="23"/>
        <v>8146.7</v>
      </c>
      <c r="M73" s="51"/>
      <c r="N73" s="51">
        <v>937.2</v>
      </c>
      <c r="O73" s="51"/>
      <c r="P73" s="51"/>
      <c r="Q73" s="51"/>
      <c r="R73" s="51">
        <f t="shared" si="24"/>
        <v>20000</v>
      </c>
      <c r="S73" s="53">
        <f t="shared" si="22"/>
        <v>100000</v>
      </c>
    </row>
    <row r="74" spans="1:20" x14ac:dyDescent="0.25">
      <c r="A74" s="48" t="s">
        <v>136</v>
      </c>
      <c r="B74" s="49" t="s">
        <v>137</v>
      </c>
      <c r="C74" s="50">
        <v>0.75</v>
      </c>
      <c r="D74" s="50">
        <v>13</v>
      </c>
      <c r="E74" s="51">
        <f>7877*C74</f>
        <v>5907.75</v>
      </c>
      <c r="F74" s="50"/>
      <c r="G74" s="51">
        <f t="shared" si="19"/>
        <v>5907.75</v>
      </c>
      <c r="H74" s="51"/>
      <c r="I74" s="51"/>
      <c r="J74" s="51"/>
      <c r="K74" s="51">
        <f t="shared" si="21"/>
        <v>1772.325</v>
      </c>
      <c r="L74" s="80">
        <f t="shared" si="23"/>
        <v>6660.5550000000003</v>
      </c>
      <c r="M74" s="51"/>
      <c r="N74" s="51">
        <f>879.16*C74</f>
        <v>659.37</v>
      </c>
      <c r="O74" s="51"/>
      <c r="P74" s="51"/>
      <c r="Q74" s="51"/>
      <c r="R74" s="51">
        <f t="shared" si="24"/>
        <v>15000.000000000002</v>
      </c>
      <c r="S74" s="53">
        <f t="shared" si="22"/>
        <v>75000.000000000015</v>
      </c>
    </row>
    <row r="75" spans="1:20" x14ac:dyDescent="0.25">
      <c r="A75" s="48" t="s">
        <v>138</v>
      </c>
      <c r="B75" s="49" t="s">
        <v>139</v>
      </c>
      <c r="C75" s="50">
        <v>1</v>
      </c>
      <c r="D75" s="50">
        <v>9</v>
      </c>
      <c r="E75" s="51">
        <f>6003*C75</f>
        <v>6003</v>
      </c>
      <c r="F75" s="50">
        <f>E75*0.1</f>
        <v>600.30000000000007</v>
      </c>
      <c r="G75" s="51">
        <f t="shared" si="19"/>
        <v>6603.3</v>
      </c>
      <c r="H75" s="51"/>
      <c r="I75" s="51"/>
      <c r="J75" s="51"/>
      <c r="K75" s="51">
        <f t="shared" si="21"/>
        <v>1980.99</v>
      </c>
      <c r="L75" s="80">
        <v>5596.39</v>
      </c>
      <c r="M75" s="51"/>
      <c r="N75" s="51"/>
      <c r="O75" s="51"/>
      <c r="P75" s="51"/>
      <c r="Q75" s="51"/>
      <c r="R75" s="51">
        <f t="shared" si="20"/>
        <v>14180.68</v>
      </c>
      <c r="S75" s="53">
        <f t="shared" si="22"/>
        <v>70903.399999999994</v>
      </c>
    </row>
    <row r="76" spans="1:20" x14ac:dyDescent="0.25">
      <c r="A76" s="48" t="s">
        <v>140</v>
      </c>
      <c r="B76" s="49" t="s">
        <v>141</v>
      </c>
      <c r="C76" s="50">
        <v>10</v>
      </c>
      <c r="D76" s="50">
        <v>9</v>
      </c>
      <c r="E76" s="51">
        <f>6003*C76</f>
        <v>60030</v>
      </c>
      <c r="F76" s="50"/>
      <c r="G76" s="51">
        <f t="shared" si="19"/>
        <v>60030</v>
      </c>
      <c r="H76" s="51"/>
      <c r="I76" s="51">
        <f t="shared" ref="I76:I78" si="25">G76*0.1</f>
        <v>6003</v>
      </c>
      <c r="J76" s="51"/>
      <c r="K76" s="51">
        <f t="shared" si="21"/>
        <v>18009</v>
      </c>
      <c r="L76" s="80">
        <f>13500*C76-G76-I76-K76-N76</f>
        <v>44258.6</v>
      </c>
      <c r="M76" s="51"/>
      <c r="N76" s="51">
        <f>669.94*C76</f>
        <v>6699.4000000000005</v>
      </c>
      <c r="O76" s="51"/>
      <c r="P76" s="51"/>
      <c r="Q76" s="51"/>
      <c r="R76" s="51">
        <f>G76+I76+K76+L76+N76</f>
        <v>135000</v>
      </c>
      <c r="S76" s="53">
        <f t="shared" si="22"/>
        <v>675000</v>
      </c>
    </row>
    <row r="77" spans="1:20" x14ac:dyDescent="0.25">
      <c r="A77" s="48" t="s">
        <v>142</v>
      </c>
      <c r="B77" s="49" t="s">
        <v>143</v>
      </c>
      <c r="C77" s="50">
        <v>1</v>
      </c>
      <c r="D77" s="50">
        <v>6</v>
      </c>
      <c r="E77" s="51">
        <f>5032*C77</f>
        <v>5032</v>
      </c>
      <c r="F77" s="50"/>
      <c r="G77" s="51">
        <f t="shared" si="19"/>
        <v>5032</v>
      </c>
      <c r="H77" s="51"/>
      <c r="I77" s="51">
        <f t="shared" si="25"/>
        <v>503.20000000000005</v>
      </c>
      <c r="J77" s="51"/>
      <c r="K77" s="51">
        <f t="shared" si="21"/>
        <v>1509.6</v>
      </c>
      <c r="L77" s="80">
        <f t="shared" ref="L77" si="26">13500-G77-I77-K77</f>
        <v>6455.2000000000007</v>
      </c>
      <c r="M77" s="51"/>
      <c r="N77" s="51"/>
      <c r="O77" s="51"/>
      <c r="P77" s="51"/>
      <c r="Q77" s="51"/>
      <c r="R77" s="51">
        <f t="shared" ref="R77" si="27">G77+I77+K77+L77</f>
        <v>13500</v>
      </c>
      <c r="S77" s="53">
        <f t="shared" si="22"/>
        <v>67500</v>
      </c>
    </row>
    <row r="78" spans="1:20" x14ac:dyDescent="0.25">
      <c r="A78" s="48" t="s">
        <v>144</v>
      </c>
      <c r="B78" s="49" t="s">
        <v>145</v>
      </c>
      <c r="C78" s="50">
        <v>6</v>
      </c>
      <c r="D78" s="50">
        <v>4</v>
      </c>
      <c r="E78" s="51">
        <f>4407*C78</f>
        <v>26442</v>
      </c>
      <c r="F78" s="50"/>
      <c r="G78" s="51">
        <f t="shared" si="19"/>
        <v>26442</v>
      </c>
      <c r="H78" s="51"/>
      <c r="I78" s="51">
        <f t="shared" si="25"/>
        <v>2644.2000000000003</v>
      </c>
      <c r="J78" s="51"/>
      <c r="K78" s="51"/>
      <c r="L78" s="51"/>
      <c r="M78" s="51"/>
      <c r="N78" s="51">
        <f>475.33*C78</f>
        <v>2851.98</v>
      </c>
      <c r="O78" s="51"/>
      <c r="P78" s="51">
        <f>8647*C78-G78</f>
        <v>25440</v>
      </c>
      <c r="Q78" s="51"/>
      <c r="R78" s="51">
        <f>E78+I78+P78+N78</f>
        <v>57378.18</v>
      </c>
      <c r="S78" s="53">
        <f t="shared" si="22"/>
        <v>286890.90000000002</v>
      </c>
    </row>
    <row r="79" spans="1:20" x14ac:dyDescent="0.25">
      <c r="A79" s="48" t="s">
        <v>146</v>
      </c>
      <c r="B79" s="49" t="s">
        <v>147</v>
      </c>
      <c r="C79" s="50">
        <v>1</v>
      </c>
      <c r="D79" s="50">
        <v>3</v>
      </c>
      <c r="E79" s="51">
        <f>4095*C79</f>
        <v>4095</v>
      </c>
      <c r="F79" s="50"/>
      <c r="G79" s="51">
        <f t="shared" si="19"/>
        <v>4095</v>
      </c>
      <c r="H79" s="51"/>
      <c r="I79" s="51"/>
      <c r="J79" s="51"/>
      <c r="K79" s="51"/>
      <c r="L79" s="51"/>
      <c r="M79" s="51"/>
      <c r="N79" s="51"/>
      <c r="O79" s="51"/>
      <c r="P79" s="51">
        <f>8647-G79</f>
        <v>4552</v>
      </c>
      <c r="Q79" s="51"/>
      <c r="R79" s="51">
        <f>G79+P79</f>
        <v>8647</v>
      </c>
      <c r="S79" s="53">
        <f t="shared" si="22"/>
        <v>43235</v>
      </c>
      <c r="T79" s="97"/>
    </row>
    <row r="80" spans="1:20" x14ac:dyDescent="0.25">
      <c r="A80" s="48" t="s">
        <v>148</v>
      </c>
      <c r="B80" s="49" t="s">
        <v>149</v>
      </c>
      <c r="C80" s="50">
        <v>1</v>
      </c>
      <c r="D80" s="50">
        <v>4</v>
      </c>
      <c r="E80" s="51">
        <f>4407*C80</f>
        <v>4407</v>
      </c>
      <c r="F80" s="50"/>
      <c r="G80" s="51">
        <f t="shared" si="19"/>
        <v>4407</v>
      </c>
      <c r="H80" s="51"/>
      <c r="I80" s="51"/>
      <c r="J80" s="51"/>
      <c r="K80" s="51"/>
      <c r="L80" s="51"/>
      <c r="M80" s="51"/>
      <c r="N80" s="51"/>
      <c r="O80" s="51"/>
      <c r="P80" s="51">
        <f>8647-G80</f>
        <v>4240</v>
      </c>
      <c r="Q80" s="51"/>
      <c r="R80" s="51">
        <f>G80+P80</f>
        <v>8647</v>
      </c>
      <c r="S80" s="53">
        <f t="shared" si="22"/>
        <v>43235</v>
      </c>
      <c r="T80" s="97"/>
    </row>
    <row r="81" spans="1:20" s="61" customFormat="1" ht="24.6" customHeight="1" thickBot="1" x14ac:dyDescent="0.3">
      <c r="A81" s="55"/>
      <c r="B81" s="56" t="s">
        <v>59</v>
      </c>
      <c r="C81" s="57">
        <f>SUM(C64:C80)</f>
        <v>29.25</v>
      </c>
      <c r="D81" s="57"/>
      <c r="E81" s="58">
        <f>SUM(E64:E80)</f>
        <v>179389</v>
      </c>
      <c r="F81" s="57">
        <f>SUM(F64:F80)</f>
        <v>2309.3000000000002</v>
      </c>
      <c r="G81" s="58">
        <f>SUM(G64:G80)</f>
        <v>181698.3</v>
      </c>
      <c r="H81" s="58"/>
      <c r="I81" s="58">
        <f>SUM(I64:I80)</f>
        <v>9150.4</v>
      </c>
      <c r="J81" s="58"/>
      <c r="K81" s="58">
        <f>SUM(K64:K80)</f>
        <v>44026.29</v>
      </c>
      <c r="L81" s="58">
        <f>SUM(L64:L80)</f>
        <v>139402.4</v>
      </c>
      <c r="M81" s="58"/>
      <c r="N81" s="58">
        <f>SUM(N69:N80)</f>
        <v>13843.470000000001</v>
      </c>
      <c r="O81" s="58"/>
      <c r="P81" s="58">
        <f>SUM(P64:P80)</f>
        <v>34232</v>
      </c>
      <c r="Q81" s="58"/>
      <c r="R81" s="58">
        <f>R64+R65+R66+R67+R68+R69+R70+R71+R72+R73+R74+R75+R76+R77+R78+R79+R80</f>
        <v>422352.86</v>
      </c>
      <c r="S81" s="64">
        <f>SUM(S64:S80)</f>
        <v>2111764.2999999998</v>
      </c>
      <c r="T81" s="98"/>
    </row>
    <row r="82" spans="1:20" s="23" customFormat="1" ht="20.399999999999999" customHeight="1" x14ac:dyDescent="0.2">
      <c r="A82" s="44"/>
      <c r="B82" s="99" t="s">
        <v>150</v>
      </c>
      <c r="C82" s="65"/>
      <c r="D82" s="65"/>
      <c r="E82" s="66"/>
      <c r="F82" s="65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90"/>
      <c r="T82" s="100"/>
    </row>
    <row r="83" spans="1:20" s="23" customFormat="1" x14ac:dyDescent="0.25">
      <c r="A83" s="48" t="s">
        <v>151</v>
      </c>
      <c r="B83" s="49" t="s">
        <v>107</v>
      </c>
      <c r="C83" s="50">
        <v>1</v>
      </c>
      <c r="D83" s="50">
        <v>12</v>
      </c>
      <c r="E83" s="51">
        <f>7356*C83</f>
        <v>7356</v>
      </c>
      <c r="F83" s="50">
        <f>E83*0.25</f>
        <v>1839</v>
      </c>
      <c r="G83" s="51">
        <f t="shared" ref="G83:G111" si="28">E83+F83</f>
        <v>9195</v>
      </c>
      <c r="H83" s="51"/>
      <c r="I83" s="51"/>
      <c r="J83" s="51"/>
      <c r="K83" s="51">
        <f>G83*0.3</f>
        <v>2758.5</v>
      </c>
      <c r="L83" s="51">
        <f t="shared" ref="L83" si="29">20000-G83-K83</f>
        <v>8046.5</v>
      </c>
      <c r="M83" s="51"/>
      <c r="N83" s="51"/>
      <c r="O83" s="51"/>
      <c r="P83" s="51"/>
      <c r="Q83" s="51"/>
      <c r="R83" s="51">
        <f t="shared" ref="R83:R85" si="30">G83+K83+L83</f>
        <v>20000</v>
      </c>
      <c r="S83" s="53">
        <f>R83*5</f>
        <v>100000</v>
      </c>
      <c r="T83" s="100"/>
    </row>
    <row r="84" spans="1:20" s="23" customFormat="1" x14ac:dyDescent="0.25">
      <c r="A84" s="48" t="s">
        <v>152</v>
      </c>
      <c r="B84" s="49" t="s">
        <v>153</v>
      </c>
      <c r="C84" s="50">
        <v>1.5</v>
      </c>
      <c r="D84" s="50">
        <v>14</v>
      </c>
      <c r="E84" s="51">
        <f>8397*C84</f>
        <v>12595.5</v>
      </c>
      <c r="F84" s="50"/>
      <c r="G84" s="51">
        <f t="shared" si="28"/>
        <v>12595.5</v>
      </c>
      <c r="H84" s="51"/>
      <c r="I84" s="51"/>
      <c r="J84" s="51"/>
      <c r="K84" s="51">
        <f t="shared" ref="K84:K109" si="31">G84*0.3</f>
        <v>3778.6499999999996</v>
      </c>
      <c r="L84" s="51">
        <f>30000-G84-K84</f>
        <v>13625.85</v>
      </c>
      <c r="M84" s="51"/>
      <c r="N84" s="51"/>
      <c r="O84" s="51"/>
      <c r="P84" s="51"/>
      <c r="Q84" s="51"/>
      <c r="R84" s="51">
        <f t="shared" si="30"/>
        <v>30000</v>
      </c>
      <c r="S84" s="53">
        <f t="shared" ref="S84:S111" si="32">R84*5</f>
        <v>150000</v>
      </c>
      <c r="T84" s="100"/>
    </row>
    <row r="85" spans="1:20" s="23" customFormat="1" x14ac:dyDescent="0.25">
      <c r="A85" s="48" t="s">
        <v>154</v>
      </c>
      <c r="B85" s="49" t="s">
        <v>155</v>
      </c>
      <c r="C85" s="50">
        <v>1</v>
      </c>
      <c r="D85" s="50">
        <v>12</v>
      </c>
      <c r="E85" s="51">
        <f>7356*C85</f>
        <v>7356</v>
      </c>
      <c r="F85" s="51">
        <f>E85*0.15</f>
        <v>1103.3999999999999</v>
      </c>
      <c r="G85" s="51">
        <f t="shared" si="28"/>
        <v>8459.4</v>
      </c>
      <c r="H85" s="51"/>
      <c r="I85" s="51"/>
      <c r="J85" s="51"/>
      <c r="K85" s="51">
        <f t="shared" si="31"/>
        <v>2537.8199999999997</v>
      </c>
      <c r="L85" s="51">
        <f t="shared" ref="L85" si="33">20000-G85-K85</f>
        <v>9002.7800000000007</v>
      </c>
      <c r="M85" s="51"/>
      <c r="N85" s="51"/>
      <c r="O85" s="51"/>
      <c r="P85" s="51"/>
      <c r="Q85" s="51"/>
      <c r="R85" s="51">
        <f t="shared" si="30"/>
        <v>20000</v>
      </c>
      <c r="S85" s="53">
        <f t="shared" si="32"/>
        <v>100000</v>
      </c>
      <c r="T85" s="100"/>
    </row>
    <row r="86" spans="1:20" s="23" customFormat="1" x14ac:dyDescent="0.25">
      <c r="A86" s="48" t="s">
        <v>156</v>
      </c>
      <c r="B86" s="49" t="s">
        <v>157</v>
      </c>
      <c r="C86" s="50">
        <v>1</v>
      </c>
      <c r="D86" s="50">
        <v>11</v>
      </c>
      <c r="E86" s="51">
        <f>6836*C86</f>
        <v>6836</v>
      </c>
      <c r="F86" s="50"/>
      <c r="G86" s="51">
        <f t="shared" si="28"/>
        <v>6836</v>
      </c>
      <c r="H86" s="51"/>
      <c r="I86" s="51"/>
      <c r="J86" s="51"/>
      <c r="K86" s="51">
        <f t="shared" si="31"/>
        <v>2050.7999999999997</v>
      </c>
      <c r="L86" s="51">
        <f>20000-G86-K86</f>
        <v>11113.2</v>
      </c>
      <c r="M86" s="51"/>
      <c r="N86" s="51"/>
      <c r="O86" s="51"/>
      <c r="P86" s="51"/>
      <c r="Q86" s="51"/>
      <c r="R86" s="51">
        <f>G86+K86+L86</f>
        <v>20000</v>
      </c>
      <c r="S86" s="53">
        <f t="shared" si="32"/>
        <v>100000</v>
      </c>
      <c r="T86" s="100"/>
    </row>
    <row r="87" spans="1:20" s="23" customFormat="1" x14ac:dyDescent="0.25">
      <c r="A87" s="48" t="s">
        <v>158</v>
      </c>
      <c r="B87" s="49" t="s">
        <v>159</v>
      </c>
      <c r="C87" s="50">
        <v>1.5</v>
      </c>
      <c r="D87" s="50">
        <v>11</v>
      </c>
      <c r="E87" s="51">
        <f>6836*C87</f>
        <v>10254</v>
      </c>
      <c r="F87" s="50"/>
      <c r="G87" s="51">
        <f t="shared" si="28"/>
        <v>10254</v>
      </c>
      <c r="H87" s="51"/>
      <c r="I87" s="51"/>
      <c r="J87" s="51"/>
      <c r="K87" s="51">
        <f t="shared" si="31"/>
        <v>3076.2</v>
      </c>
      <c r="L87" s="51">
        <f>20000*C87-G87-K87</f>
        <v>16669.8</v>
      </c>
      <c r="M87" s="51"/>
      <c r="N87" s="51"/>
      <c r="O87" s="51"/>
      <c r="P87" s="51"/>
      <c r="Q87" s="51"/>
      <c r="R87" s="51">
        <f t="shared" ref="R87:R103" si="34">G87+K87+L87</f>
        <v>30000</v>
      </c>
      <c r="S87" s="53">
        <f t="shared" si="32"/>
        <v>150000</v>
      </c>
      <c r="T87" s="100"/>
    </row>
    <row r="88" spans="1:20" s="23" customFormat="1" x14ac:dyDescent="0.25">
      <c r="A88" s="48" t="s">
        <v>160</v>
      </c>
      <c r="B88" s="49" t="s">
        <v>161</v>
      </c>
      <c r="C88" s="50">
        <v>0.5</v>
      </c>
      <c r="D88" s="50">
        <v>14</v>
      </c>
      <c r="E88" s="51">
        <f>8397*C88</f>
        <v>4198.5</v>
      </c>
      <c r="F88" s="50"/>
      <c r="G88" s="51">
        <f t="shared" si="28"/>
        <v>4198.5</v>
      </c>
      <c r="H88" s="51"/>
      <c r="I88" s="51"/>
      <c r="J88" s="51"/>
      <c r="K88" s="51">
        <f t="shared" si="31"/>
        <v>1259.55</v>
      </c>
      <c r="L88" s="51">
        <f>20000*C88-G88-K88</f>
        <v>4541.95</v>
      </c>
      <c r="M88" s="51"/>
      <c r="N88" s="51"/>
      <c r="O88" s="51"/>
      <c r="P88" s="51"/>
      <c r="Q88" s="51"/>
      <c r="R88" s="51">
        <f t="shared" si="34"/>
        <v>10000</v>
      </c>
      <c r="S88" s="53">
        <f t="shared" si="32"/>
        <v>50000</v>
      </c>
      <c r="T88" s="100"/>
    </row>
    <row r="89" spans="1:20" s="23" customFormat="1" x14ac:dyDescent="0.25">
      <c r="A89" s="48" t="s">
        <v>162</v>
      </c>
      <c r="B89" s="49" t="s">
        <v>111</v>
      </c>
      <c r="C89" s="50">
        <v>0.5</v>
      </c>
      <c r="D89" s="50">
        <v>11</v>
      </c>
      <c r="E89" s="51">
        <f>6836*C89</f>
        <v>3418</v>
      </c>
      <c r="F89" s="51">
        <f>E89*0.15</f>
        <v>512.69999999999993</v>
      </c>
      <c r="G89" s="51">
        <f t="shared" si="28"/>
        <v>3930.7</v>
      </c>
      <c r="H89" s="51"/>
      <c r="I89" s="51"/>
      <c r="J89" s="51"/>
      <c r="K89" s="51">
        <f t="shared" si="31"/>
        <v>1179.2099999999998</v>
      </c>
      <c r="L89" s="51">
        <f>20000/2-G89-K89</f>
        <v>4890.09</v>
      </c>
      <c r="M89" s="51"/>
      <c r="N89" s="51"/>
      <c r="O89" s="51"/>
      <c r="P89" s="51"/>
      <c r="Q89" s="51"/>
      <c r="R89" s="51">
        <f t="shared" si="34"/>
        <v>10000</v>
      </c>
      <c r="S89" s="53">
        <f t="shared" si="32"/>
        <v>50000</v>
      </c>
      <c r="T89" s="100"/>
    </row>
    <row r="90" spans="1:20" s="23" customFormat="1" x14ac:dyDescent="0.25">
      <c r="A90" s="48" t="s">
        <v>163</v>
      </c>
      <c r="B90" s="49" t="s">
        <v>164</v>
      </c>
      <c r="C90" s="50">
        <v>2</v>
      </c>
      <c r="D90" s="50">
        <v>14</v>
      </c>
      <c r="E90" s="51">
        <f>8397*C90</f>
        <v>16794</v>
      </c>
      <c r="F90" s="51">
        <f>E90*0.15</f>
        <v>2519.1</v>
      </c>
      <c r="G90" s="51">
        <f t="shared" si="28"/>
        <v>19313.099999999999</v>
      </c>
      <c r="H90" s="51"/>
      <c r="I90" s="51"/>
      <c r="J90" s="51"/>
      <c r="K90" s="51">
        <f t="shared" si="31"/>
        <v>5793.9299999999994</v>
      </c>
      <c r="L90" s="51">
        <f>20000*C90-G90-K90</f>
        <v>14892.970000000001</v>
      </c>
      <c r="M90" s="51"/>
      <c r="N90" s="51"/>
      <c r="O90" s="51"/>
      <c r="P90" s="51"/>
      <c r="Q90" s="51"/>
      <c r="R90" s="51">
        <f t="shared" si="34"/>
        <v>40000</v>
      </c>
      <c r="S90" s="53">
        <f t="shared" si="32"/>
        <v>200000</v>
      </c>
      <c r="T90" s="100"/>
    </row>
    <row r="91" spans="1:20" s="23" customFormat="1" x14ac:dyDescent="0.25">
      <c r="A91" s="48" t="s">
        <v>165</v>
      </c>
      <c r="B91" s="49" t="s">
        <v>166</v>
      </c>
      <c r="C91" s="50">
        <v>0.75</v>
      </c>
      <c r="D91" s="50">
        <v>13</v>
      </c>
      <c r="E91" s="51">
        <f>7877*C91</f>
        <v>5907.75</v>
      </c>
      <c r="F91" s="50"/>
      <c r="G91" s="51">
        <f t="shared" si="28"/>
        <v>5907.75</v>
      </c>
      <c r="H91" s="51"/>
      <c r="I91" s="51"/>
      <c r="J91" s="51"/>
      <c r="K91" s="51">
        <f t="shared" si="31"/>
        <v>1772.325</v>
      </c>
      <c r="L91" s="51">
        <f>20000*C91-G91-K91</f>
        <v>7319.9250000000002</v>
      </c>
      <c r="M91" s="51"/>
      <c r="N91" s="51"/>
      <c r="O91" s="51"/>
      <c r="P91" s="51"/>
      <c r="Q91" s="51"/>
      <c r="R91" s="51">
        <f t="shared" si="34"/>
        <v>15000</v>
      </c>
      <c r="S91" s="53">
        <f t="shared" si="32"/>
        <v>75000</v>
      </c>
      <c r="T91" s="100"/>
    </row>
    <row r="92" spans="1:20" s="27" customFormat="1" x14ac:dyDescent="0.25">
      <c r="A92" s="48" t="s">
        <v>167</v>
      </c>
      <c r="B92" s="49" t="s">
        <v>168</v>
      </c>
      <c r="C92" s="50">
        <v>0.5</v>
      </c>
      <c r="D92" s="50">
        <v>11</v>
      </c>
      <c r="E92" s="51">
        <f>6836*C92</f>
        <v>3418</v>
      </c>
      <c r="F92" s="51"/>
      <c r="G92" s="51">
        <f t="shared" si="28"/>
        <v>3418</v>
      </c>
      <c r="H92" s="51"/>
      <c r="I92" s="51"/>
      <c r="J92" s="51"/>
      <c r="K92" s="51">
        <f t="shared" si="31"/>
        <v>1025.3999999999999</v>
      </c>
      <c r="L92" s="51">
        <f>20000*C92-G92-K92</f>
        <v>5556.6</v>
      </c>
      <c r="M92" s="51"/>
      <c r="N92" s="51"/>
      <c r="O92" s="51"/>
      <c r="P92" s="51"/>
      <c r="Q92" s="51"/>
      <c r="R92" s="51">
        <f>G92+K92+L92</f>
        <v>10000</v>
      </c>
      <c r="S92" s="53">
        <f t="shared" si="32"/>
        <v>50000</v>
      </c>
      <c r="T92" s="101"/>
    </row>
    <row r="93" spans="1:20" s="23" customFormat="1" x14ac:dyDescent="0.25">
      <c r="A93" s="48" t="s">
        <v>169</v>
      </c>
      <c r="B93" s="49" t="s">
        <v>170</v>
      </c>
      <c r="C93" s="50">
        <v>0.25</v>
      </c>
      <c r="D93" s="50">
        <v>14</v>
      </c>
      <c r="E93" s="51">
        <f>8397*C93</f>
        <v>2099.25</v>
      </c>
      <c r="F93" s="50"/>
      <c r="G93" s="51">
        <f>E93+F93</f>
        <v>2099.25</v>
      </c>
      <c r="H93" s="51"/>
      <c r="I93" s="51"/>
      <c r="J93" s="51"/>
      <c r="K93" s="51">
        <f t="shared" si="31"/>
        <v>629.77499999999998</v>
      </c>
      <c r="L93" s="51">
        <f>20000*C93-G93-K93</f>
        <v>2270.9749999999999</v>
      </c>
      <c r="M93" s="51"/>
      <c r="N93" s="51"/>
      <c r="O93" s="51"/>
      <c r="P93" s="51"/>
      <c r="Q93" s="51"/>
      <c r="R93" s="51">
        <f>G93+K93+L93</f>
        <v>5000</v>
      </c>
      <c r="S93" s="53">
        <f t="shared" si="32"/>
        <v>25000</v>
      </c>
      <c r="T93" s="100"/>
    </row>
    <row r="94" spans="1:20" s="23" customFormat="1" x14ac:dyDescent="0.25">
      <c r="A94" s="48" t="s">
        <v>171</v>
      </c>
      <c r="B94" s="49" t="s">
        <v>172</v>
      </c>
      <c r="C94" s="50">
        <v>0.5</v>
      </c>
      <c r="D94" s="50">
        <v>14</v>
      </c>
      <c r="E94" s="51">
        <f>8397*C94</f>
        <v>4198.5</v>
      </c>
      <c r="F94" s="50"/>
      <c r="G94" s="51">
        <f t="shared" si="28"/>
        <v>4198.5</v>
      </c>
      <c r="H94" s="51"/>
      <c r="I94" s="51"/>
      <c r="J94" s="51"/>
      <c r="K94" s="51">
        <f t="shared" si="31"/>
        <v>1259.55</v>
      </c>
      <c r="L94" s="51">
        <f>20000/2-G94-K94</f>
        <v>4541.95</v>
      </c>
      <c r="M94" s="51"/>
      <c r="N94" s="51"/>
      <c r="O94" s="51"/>
      <c r="P94" s="51"/>
      <c r="Q94" s="51"/>
      <c r="R94" s="51">
        <f t="shared" si="34"/>
        <v>10000</v>
      </c>
      <c r="S94" s="53">
        <f t="shared" si="32"/>
        <v>50000</v>
      </c>
      <c r="T94" s="100"/>
    </row>
    <row r="95" spans="1:20" s="102" customFormat="1" x14ac:dyDescent="0.25">
      <c r="A95" s="48" t="s">
        <v>173</v>
      </c>
      <c r="B95" s="49" t="s">
        <v>174</v>
      </c>
      <c r="C95" s="50">
        <v>0.25</v>
      </c>
      <c r="D95" s="50">
        <v>14</v>
      </c>
      <c r="E95" s="51">
        <f>8397*C95</f>
        <v>2099.25</v>
      </c>
      <c r="F95" s="50"/>
      <c r="G95" s="51">
        <f t="shared" si="28"/>
        <v>2099.25</v>
      </c>
      <c r="H95" s="51"/>
      <c r="I95" s="51"/>
      <c r="J95" s="51"/>
      <c r="K95" s="51">
        <f t="shared" si="31"/>
        <v>629.77499999999998</v>
      </c>
      <c r="L95" s="51">
        <f>20000*C95-G95-K95</f>
        <v>2270.9749999999999</v>
      </c>
      <c r="M95" s="51"/>
      <c r="N95" s="51"/>
      <c r="O95" s="51"/>
      <c r="P95" s="51"/>
      <c r="Q95" s="51"/>
      <c r="R95" s="51">
        <f t="shared" si="34"/>
        <v>5000</v>
      </c>
      <c r="S95" s="53">
        <f t="shared" si="32"/>
        <v>25000</v>
      </c>
    </row>
    <row r="96" spans="1:20" s="102" customFormat="1" x14ac:dyDescent="0.25">
      <c r="A96" s="48" t="s">
        <v>175</v>
      </c>
      <c r="B96" s="49" t="s">
        <v>176</v>
      </c>
      <c r="C96" s="50">
        <v>0.5</v>
      </c>
      <c r="D96" s="50">
        <v>14</v>
      </c>
      <c r="E96" s="51">
        <f>8397*C96</f>
        <v>4198.5</v>
      </c>
      <c r="F96" s="50"/>
      <c r="G96" s="51">
        <f t="shared" si="28"/>
        <v>4198.5</v>
      </c>
      <c r="H96" s="51"/>
      <c r="I96" s="51"/>
      <c r="J96" s="51"/>
      <c r="K96" s="51">
        <f t="shared" si="31"/>
        <v>1259.55</v>
      </c>
      <c r="L96" s="51">
        <f>20000/2-G96-K96</f>
        <v>4541.95</v>
      </c>
      <c r="M96" s="51"/>
      <c r="N96" s="51"/>
      <c r="O96" s="51"/>
      <c r="P96" s="51"/>
      <c r="Q96" s="51"/>
      <c r="R96" s="51">
        <f t="shared" si="34"/>
        <v>10000</v>
      </c>
      <c r="S96" s="53">
        <f t="shared" si="32"/>
        <v>50000</v>
      </c>
    </row>
    <row r="97" spans="1:20" s="23" customFormat="1" x14ac:dyDescent="0.25">
      <c r="A97" s="48" t="s">
        <v>177</v>
      </c>
      <c r="B97" s="49" t="s">
        <v>178</v>
      </c>
      <c r="C97" s="50">
        <v>1.5</v>
      </c>
      <c r="D97" s="50">
        <v>14</v>
      </c>
      <c r="E97" s="51">
        <f>8397*C97</f>
        <v>12595.5</v>
      </c>
      <c r="F97" s="50"/>
      <c r="G97" s="51">
        <f t="shared" si="28"/>
        <v>12595.5</v>
      </c>
      <c r="H97" s="51"/>
      <c r="I97" s="51"/>
      <c r="J97" s="51"/>
      <c r="K97" s="51">
        <f t="shared" si="31"/>
        <v>3778.6499999999996</v>
      </c>
      <c r="L97" s="51">
        <f>20000*1.5-G97-K97</f>
        <v>13625.85</v>
      </c>
      <c r="M97" s="51"/>
      <c r="N97" s="51"/>
      <c r="O97" s="51"/>
      <c r="P97" s="51"/>
      <c r="Q97" s="51"/>
      <c r="R97" s="51">
        <f t="shared" si="34"/>
        <v>30000</v>
      </c>
      <c r="S97" s="53">
        <f t="shared" si="32"/>
        <v>150000</v>
      </c>
      <c r="T97" s="100"/>
    </row>
    <row r="98" spans="1:20" x14ac:dyDescent="0.25">
      <c r="A98" s="48" t="s">
        <v>179</v>
      </c>
      <c r="B98" s="49" t="s">
        <v>119</v>
      </c>
      <c r="C98" s="50">
        <v>0.75</v>
      </c>
      <c r="D98" s="50">
        <v>10</v>
      </c>
      <c r="E98" s="51">
        <f>6315*C98</f>
        <v>4736.25</v>
      </c>
      <c r="F98" s="50"/>
      <c r="G98" s="51">
        <f t="shared" si="28"/>
        <v>4736.25</v>
      </c>
      <c r="H98" s="51"/>
      <c r="I98" s="51"/>
      <c r="J98" s="51"/>
      <c r="K98" s="51">
        <f t="shared" si="31"/>
        <v>1420.875</v>
      </c>
      <c r="L98" s="51">
        <f>20000*C98-G98-K98</f>
        <v>8842.875</v>
      </c>
      <c r="M98" s="51"/>
      <c r="N98" s="51"/>
      <c r="O98" s="51"/>
      <c r="P98" s="51"/>
      <c r="Q98" s="51"/>
      <c r="R98" s="51">
        <f t="shared" si="34"/>
        <v>15000</v>
      </c>
      <c r="S98" s="53">
        <f t="shared" si="32"/>
        <v>75000</v>
      </c>
      <c r="T98" s="97"/>
    </row>
    <row r="99" spans="1:20" s="23" customFormat="1" x14ac:dyDescent="0.25">
      <c r="A99" s="48" t="s">
        <v>180</v>
      </c>
      <c r="B99" s="49" t="s">
        <v>181</v>
      </c>
      <c r="C99" s="50">
        <v>1.5</v>
      </c>
      <c r="D99" s="50">
        <v>14</v>
      </c>
      <c r="E99" s="51">
        <f>8397*C99</f>
        <v>12595.5</v>
      </c>
      <c r="F99" s="50"/>
      <c r="G99" s="51">
        <f t="shared" si="28"/>
        <v>12595.5</v>
      </c>
      <c r="H99" s="51"/>
      <c r="I99" s="51"/>
      <c r="J99" s="51"/>
      <c r="K99" s="51">
        <f t="shared" si="31"/>
        <v>3778.6499999999996</v>
      </c>
      <c r="L99" s="51">
        <f>20000*C99-G99-K99</f>
        <v>13625.85</v>
      </c>
      <c r="M99" s="51"/>
      <c r="N99" s="51"/>
      <c r="O99" s="51"/>
      <c r="P99" s="51"/>
      <c r="Q99" s="51"/>
      <c r="R99" s="51">
        <f t="shared" si="34"/>
        <v>30000</v>
      </c>
      <c r="S99" s="53">
        <f t="shared" si="32"/>
        <v>150000</v>
      </c>
      <c r="T99" s="100"/>
    </row>
    <row r="100" spans="1:20" x14ac:dyDescent="0.25">
      <c r="A100" s="48" t="s">
        <v>182</v>
      </c>
      <c r="B100" s="49" t="s">
        <v>183</v>
      </c>
      <c r="C100" s="50">
        <v>0.25</v>
      </c>
      <c r="D100" s="50">
        <v>13</v>
      </c>
      <c r="E100" s="51">
        <f>7877*C100</f>
        <v>1969.25</v>
      </c>
      <c r="F100" s="50"/>
      <c r="G100" s="51">
        <f t="shared" si="28"/>
        <v>1969.25</v>
      </c>
      <c r="H100" s="51"/>
      <c r="I100" s="51"/>
      <c r="J100" s="51"/>
      <c r="K100" s="51">
        <f t="shared" si="31"/>
        <v>590.77499999999998</v>
      </c>
      <c r="L100" s="51">
        <f>20000/4-G100-K100</f>
        <v>2439.9749999999999</v>
      </c>
      <c r="M100" s="51"/>
      <c r="N100" s="51"/>
      <c r="O100" s="51"/>
      <c r="P100" s="51"/>
      <c r="Q100" s="51"/>
      <c r="R100" s="51">
        <f t="shared" si="34"/>
        <v>5000</v>
      </c>
      <c r="S100" s="53">
        <f t="shared" si="32"/>
        <v>25000</v>
      </c>
      <c r="T100" s="97"/>
    </row>
    <row r="101" spans="1:20" s="27" customFormat="1" x14ac:dyDescent="0.25">
      <c r="A101" s="48" t="s">
        <v>184</v>
      </c>
      <c r="B101" s="49" t="s">
        <v>185</v>
      </c>
      <c r="C101" s="50">
        <v>0.25</v>
      </c>
      <c r="D101" s="50">
        <v>14</v>
      </c>
      <c r="E101" s="51">
        <f>8397*C101</f>
        <v>2099.25</v>
      </c>
      <c r="F101" s="50"/>
      <c r="G101" s="51">
        <f t="shared" si="28"/>
        <v>2099.25</v>
      </c>
      <c r="H101" s="51"/>
      <c r="I101" s="51"/>
      <c r="J101" s="51"/>
      <c r="K101" s="51">
        <f t="shared" si="31"/>
        <v>629.77499999999998</v>
      </c>
      <c r="L101" s="51">
        <f>20000/4-G101-K101</f>
        <v>2270.9749999999999</v>
      </c>
      <c r="M101" s="51"/>
      <c r="N101" s="51"/>
      <c r="O101" s="51"/>
      <c r="P101" s="51"/>
      <c r="Q101" s="51"/>
      <c r="R101" s="51">
        <f t="shared" si="34"/>
        <v>5000</v>
      </c>
      <c r="S101" s="53">
        <f t="shared" si="32"/>
        <v>25000</v>
      </c>
      <c r="T101" s="101"/>
    </row>
    <row r="102" spans="1:20" s="27" customFormat="1" x14ac:dyDescent="0.25">
      <c r="A102" s="48" t="s">
        <v>186</v>
      </c>
      <c r="B102" s="49" t="s">
        <v>187</v>
      </c>
      <c r="C102" s="50">
        <v>0.25</v>
      </c>
      <c r="D102" s="50">
        <v>11</v>
      </c>
      <c r="E102" s="51">
        <f>6836*C102</f>
        <v>1709</v>
      </c>
      <c r="F102" s="50"/>
      <c r="G102" s="51">
        <f t="shared" si="28"/>
        <v>1709</v>
      </c>
      <c r="H102" s="51"/>
      <c r="I102" s="51"/>
      <c r="J102" s="51"/>
      <c r="K102" s="51">
        <f t="shared" si="31"/>
        <v>512.69999999999993</v>
      </c>
      <c r="L102" s="51">
        <f>20000/4-G102-K102</f>
        <v>2778.3</v>
      </c>
      <c r="M102" s="51"/>
      <c r="N102" s="51"/>
      <c r="O102" s="51"/>
      <c r="P102" s="51"/>
      <c r="Q102" s="51"/>
      <c r="R102" s="51">
        <f t="shared" si="34"/>
        <v>5000</v>
      </c>
      <c r="S102" s="53">
        <f t="shared" si="32"/>
        <v>25000</v>
      </c>
      <c r="T102" s="101"/>
    </row>
    <row r="103" spans="1:20" s="27" customFormat="1" x14ac:dyDescent="0.25">
      <c r="A103" s="48" t="s">
        <v>188</v>
      </c>
      <c r="B103" s="49" t="s">
        <v>189</v>
      </c>
      <c r="C103" s="50">
        <v>0.25</v>
      </c>
      <c r="D103" s="50">
        <v>11</v>
      </c>
      <c r="E103" s="51">
        <f>6836*C103</f>
        <v>1709</v>
      </c>
      <c r="F103" s="50"/>
      <c r="G103" s="51">
        <f t="shared" si="28"/>
        <v>1709</v>
      </c>
      <c r="H103" s="51"/>
      <c r="I103" s="51"/>
      <c r="J103" s="51"/>
      <c r="K103" s="51">
        <f t="shared" si="31"/>
        <v>512.69999999999993</v>
      </c>
      <c r="L103" s="51">
        <f>20000/4-G103-K103</f>
        <v>2778.3</v>
      </c>
      <c r="M103" s="51"/>
      <c r="N103" s="51"/>
      <c r="O103" s="51"/>
      <c r="P103" s="51"/>
      <c r="Q103" s="51"/>
      <c r="R103" s="51">
        <f t="shared" si="34"/>
        <v>5000</v>
      </c>
      <c r="S103" s="53">
        <f t="shared" si="32"/>
        <v>25000</v>
      </c>
      <c r="T103" s="101"/>
    </row>
    <row r="104" spans="1:20" x14ac:dyDescent="0.25">
      <c r="A104" s="48" t="s">
        <v>190</v>
      </c>
      <c r="B104" s="49" t="s">
        <v>139</v>
      </c>
      <c r="C104" s="50">
        <v>0.5</v>
      </c>
      <c r="D104" s="50">
        <v>9</v>
      </c>
      <c r="E104" s="51">
        <f>6003*C104</f>
        <v>3001.5</v>
      </c>
      <c r="F104" s="50"/>
      <c r="G104" s="51">
        <f t="shared" si="28"/>
        <v>3001.5</v>
      </c>
      <c r="H104" s="51"/>
      <c r="I104" s="51"/>
      <c r="J104" s="51"/>
      <c r="K104" s="51">
        <f t="shared" si="31"/>
        <v>900.44999999999993</v>
      </c>
      <c r="L104" s="51">
        <f>13500*C104-G104-K104</f>
        <v>2848.05</v>
      </c>
      <c r="M104" s="51"/>
      <c r="N104" s="51"/>
      <c r="O104" s="51"/>
      <c r="P104" s="51"/>
      <c r="Q104" s="51"/>
      <c r="R104" s="51">
        <f>G104+K104+L104</f>
        <v>6750</v>
      </c>
      <c r="S104" s="53">
        <f t="shared" si="32"/>
        <v>33750</v>
      </c>
      <c r="T104" s="97"/>
    </row>
    <row r="105" spans="1:20" x14ac:dyDescent="0.25">
      <c r="A105" s="48" t="s">
        <v>191</v>
      </c>
      <c r="B105" s="49" t="s">
        <v>192</v>
      </c>
      <c r="C105" s="50">
        <v>1</v>
      </c>
      <c r="D105" s="50">
        <v>9</v>
      </c>
      <c r="E105" s="51">
        <f>6003*C105</f>
        <v>6003</v>
      </c>
      <c r="F105" s="50">
        <f>E105*0.15</f>
        <v>900.44999999999993</v>
      </c>
      <c r="G105" s="51">
        <f t="shared" si="28"/>
        <v>6903.45</v>
      </c>
      <c r="H105" s="51"/>
      <c r="I105" s="51"/>
      <c r="J105" s="51"/>
      <c r="K105" s="51">
        <f t="shared" si="31"/>
        <v>2071.0349999999999</v>
      </c>
      <c r="L105" s="51">
        <f>13500-G105-K105</f>
        <v>4525.5150000000003</v>
      </c>
      <c r="M105" s="51"/>
      <c r="N105" s="51"/>
      <c r="O105" s="51"/>
      <c r="P105" s="51"/>
      <c r="Q105" s="51"/>
      <c r="R105" s="51">
        <f>G105+K105+L105</f>
        <v>13500</v>
      </c>
      <c r="S105" s="53">
        <f t="shared" si="32"/>
        <v>67500</v>
      </c>
      <c r="T105" s="97"/>
    </row>
    <row r="106" spans="1:20" x14ac:dyDescent="0.25">
      <c r="A106" s="48" t="s">
        <v>193</v>
      </c>
      <c r="B106" s="49" t="s">
        <v>194</v>
      </c>
      <c r="C106" s="50">
        <v>1.5</v>
      </c>
      <c r="D106" s="50">
        <v>7</v>
      </c>
      <c r="E106" s="51">
        <f>5344*C106</f>
        <v>8016</v>
      </c>
      <c r="F106" s="50"/>
      <c r="G106" s="51">
        <f t="shared" si="28"/>
        <v>8016</v>
      </c>
      <c r="H106" s="51"/>
      <c r="I106" s="51">
        <f>G106*0.1</f>
        <v>801.6</v>
      </c>
      <c r="J106" s="51"/>
      <c r="K106" s="51">
        <f t="shared" si="31"/>
        <v>2404.7999999999997</v>
      </c>
      <c r="L106" s="51">
        <f>13500*1.5-G106-I106-K106</f>
        <v>9027.6</v>
      </c>
      <c r="M106" s="51"/>
      <c r="N106" s="51"/>
      <c r="O106" s="51"/>
      <c r="P106" s="51"/>
      <c r="Q106" s="51"/>
      <c r="R106" s="51">
        <f>G106+I106+K106+L106</f>
        <v>20250</v>
      </c>
      <c r="S106" s="53">
        <f t="shared" si="32"/>
        <v>101250</v>
      </c>
      <c r="T106" s="97"/>
    </row>
    <row r="107" spans="1:20" x14ac:dyDescent="0.25">
      <c r="A107" s="48" t="s">
        <v>195</v>
      </c>
      <c r="B107" s="49" t="s">
        <v>96</v>
      </c>
      <c r="C107" s="50">
        <v>5</v>
      </c>
      <c r="D107" s="50">
        <v>9</v>
      </c>
      <c r="E107" s="51">
        <f>6003*C107</f>
        <v>30015</v>
      </c>
      <c r="F107" s="50"/>
      <c r="G107" s="51">
        <f t="shared" si="28"/>
        <v>30015</v>
      </c>
      <c r="H107" s="51"/>
      <c r="I107" s="51"/>
      <c r="J107" s="51"/>
      <c r="K107" s="51">
        <f t="shared" si="31"/>
        <v>9004.5</v>
      </c>
      <c r="L107" s="51">
        <f>13500*C107-G107-K107</f>
        <v>28480.5</v>
      </c>
      <c r="M107" s="51"/>
      <c r="N107" s="51"/>
      <c r="O107" s="51"/>
      <c r="P107" s="51"/>
      <c r="Q107" s="51"/>
      <c r="R107" s="51">
        <f t="shared" ref="R107" si="35">G107+K107+L107</f>
        <v>67500</v>
      </c>
      <c r="S107" s="53">
        <f t="shared" si="32"/>
        <v>337500</v>
      </c>
      <c r="T107" s="97"/>
    </row>
    <row r="108" spans="1:20" x14ac:dyDescent="0.25">
      <c r="A108" s="48" t="s">
        <v>196</v>
      </c>
      <c r="B108" s="49" t="s">
        <v>197</v>
      </c>
      <c r="C108" s="50">
        <v>2</v>
      </c>
      <c r="D108" s="50">
        <v>9</v>
      </c>
      <c r="E108" s="51">
        <f>6003*C108</f>
        <v>12006</v>
      </c>
      <c r="F108" s="50"/>
      <c r="G108" s="51">
        <f t="shared" si="28"/>
        <v>12006</v>
      </c>
      <c r="H108" s="51"/>
      <c r="I108" s="51">
        <f>G108*0.1</f>
        <v>1200.6000000000001</v>
      </c>
      <c r="J108" s="51"/>
      <c r="K108" s="51">
        <f t="shared" si="31"/>
        <v>3601.7999999999997</v>
      </c>
      <c r="L108" s="51">
        <f>13500-G108-K108-I108</f>
        <v>-3308.3999999999996</v>
      </c>
      <c r="M108" s="51"/>
      <c r="N108" s="51"/>
      <c r="O108" s="51"/>
      <c r="P108" s="51"/>
      <c r="Q108" s="51"/>
      <c r="R108" s="51">
        <f>G108+K108+L108+I108</f>
        <v>13500</v>
      </c>
      <c r="S108" s="53">
        <f t="shared" si="32"/>
        <v>67500</v>
      </c>
      <c r="T108" s="97"/>
    </row>
    <row r="109" spans="1:20" x14ac:dyDescent="0.25">
      <c r="A109" s="48" t="s">
        <v>198</v>
      </c>
      <c r="B109" s="49" t="s">
        <v>199</v>
      </c>
      <c r="C109" s="50">
        <v>2</v>
      </c>
      <c r="D109" s="50">
        <v>9</v>
      </c>
      <c r="E109" s="51">
        <f>6003*C109</f>
        <v>12006</v>
      </c>
      <c r="F109" s="50">
        <f>E109*0.15</f>
        <v>1800.8999999999999</v>
      </c>
      <c r="G109" s="51">
        <f t="shared" si="28"/>
        <v>13806.9</v>
      </c>
      <c r="H109" s="51"/>
      <c r="I109" s="51"/>
      <c r="J109" s="51"/>
      <c r="K109" s="51">
        <f t="shared" si="31"/>
        <v>4142.07</v>
      </c>
      <c r="L109" s="51">
        <f>13500*C109-G109-K109</f>
        <v>9051.0300000000007</v>
      </c>
      <c r="M109" s="51"/>
      <c r="N109" s="51"/>
      <c r="O109" s="51"/>
      <c r="P109" s="51"/>
      <c r="Q109" s="51"/>
      <c r="R109" s="51">
        <f t="shared" ref="R109" si="36">G109+K109+L109</f>
        <v>27000</v>
      </c>
      <c r="S109" s="53">
        <f t="shared" si="32"/>
        <v>135000</v>
      </c>
      <c r="T109" s="97"/>
    </row>
    <row r="110" spans="1:20" s="71" customFormat="1" x14ac:dyDescent="0.25">
      <c r="A110" s="48" t="s">
        <v>200</v>
      </c>
      <c r="B110" s="49" t="s">
        <v>201</v>
      </c>
      <c r="C110" s="50">
        <v>0.5</v>
      </c>
      <c r="D110" s="50">
        <v>4</v>
      </c>
      <c r="E110" s="51">
        <f>4407*C110</f>
        <v>2203.5</v>
      </c>
      <c r="F110" s="50"/>
      <c r="G110" s="51">
        <f>E110+F110</f>
        <v>2203.5</v>
      </c>
      <c r="H110" s="51"/>
      <c r="I110" s="51"/>
      <c r="J110" s="51"/>
      <c r="K110" s="51"/>
      <c r="L110" s="51"/>
      <c r="M110" s="51"/>
      <c r="N110" s="51"/>
      <c r="O110" s="51"/>
      <c r="P110" s="51">
        <f>8647/2-G110</f>
        <v>2120</v>
      </c>
      <c r="Q110" s="51"/>
      <c r="R110" s="51">
        <f>G110+I110+P110</f>
        <v>4323.5</v>
      </c>
      <c r="S110" s="53">
        <f t="shared" si="32"/>
        <v>21617.5</v>
      </c>
      <c r="T110" s="91"/>
    </row>
    <row r="111" spans="1:20" x14ac:dyDescent="0.25">
      <c r="A111" s="48" t="s">
        <v>202</v>
      </c>
      <c r="B111" s="49" t="s">
        <v>145</v>
      </c>
      <c r="C111" s="50">
        <v>5</v>
      </c>
      <c r="D111" s="50">
        <v>3</v>
      </c>
      <c r="E111" s="51">
        <f>4095*C111</f>
        <v>20475</v>
      </c>
      <c r="F111" s="50"/>
      <c r="G111" s="51">
        <f t="shared" si="28"/>
        <v>20475</v>
      </c>
      <c r="H111" s="51"/>
      <c r="I111" s="51">
        <f>G111*0.1</f>
        <v>2047.5</v>
      </c>
      <c r="J111" s="51"/>
      <c r="K111" s="51"/>
      <c r="L111" s="51"/>
      <c r="M111" s="51"/>
      <c r="N111" s="51"/>
      <c r="O111" s="51"/>
      <c r="P111" s="51">
        <f>8647*C111-G111</f>
        <v>22760</v>
      </c>
      <c r="Q111" s="51"/>
      <c r="R111" s="51">
        <f>G111+I111+P111</f>
        <v>45282.5</v>
      </c>
      <c r="S111" s="53">
        <f t="shared" si="32"/>
        <v>226412.5</v>
      </c>
      <c r="T111" s="97"/>
    </row>
    <row r="112" spans="1:20" s="61" customFormat="1" ht="23.4" customHeight="1" thickBot="1" x14ac:dyDescent="0.3">
      <c r="A112" s="103"/>
      <c r="B112" s="104" t="s">
        <v>59</v>
      </c>
      <c r="C112" s="105">
        <f>SUM(C83:C111)</f>
        <v>34</v>
      </c>
      <c r="D112" s="105"/>
      <c r="E112" s="106">
        <f>SUM(E83:E111)</f>
        <v>221869</v>
      </c>
      <c r="F112" s="106">
        <f>SUM(F83:F111)</f>
        <v>8675.5499999999993</v>
      </c>
      <c r="G112" s="106">
        <f>SUM(G83:G111)</f>
        <v>230544.55000000002</v>
      </c>
      <c r="H112" s="106"/>
      <c r="I112" s="106">
        <f>SUM(I83:I111)</f>
        <v>4049.7000000000003</v>
      </c>
      <c r="J112" s="106"/>
      <c r="K112" s="106">
        <f>SUM(K83:K111)</f>
        <v>62359.814999999995</v>
      </c>
      <c r="L112" s="106">
        <f>SUM(L83:L111)</f>
        <v>206271.93500000003</v>
      </c>
      <c r="M112" s="106"/>
      <c r="N112" s="106"/>
      <c r="O112" s="106"/>
      <c r="P112" s="106">
        <f>SUM(P110:P111)</f>
        <v>24880</v>
      </c>
      <c r="Q112" s="106"/>
      <c r="R112" s="106">
        <f>SUM(R83:R111)</f>
        <v>528106</v>
      </c>
      <c r="S112" s="107">
        <f>SUM(S83:S111)</f>
        <v>2640530</v>
      </c>
      <c r="T112" s="98"/>
    </row>
    <row r="113" spans="1:20" ht="16.2" customHeight="1" x14ac:dyDescent="0.25">
      <c r="A113" s="108"/>
      <c r="B113" s="45" t="s">
        <v>203</v>
      </c>
      <c r="C113" s="65"/>
      <c r="D113" s="65"/>
      <c r="E113" s="66"/>
      <c r="F113" s="65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90"/>
      <c r="T113" s="97"/>
    </row>
    <row r="114" spans="1:20" x14ac:dyDescent="0.25">
      <c r="A114" s="48" t="s">
        <v>204</v>
      </c>
      <c r="B114" s="49" t="s">
        <v>205</v>
      </c>
      <c r="C114" s="50">
        <v>0.75</v>
      </c>
      <c r="D114" s="50">
        <v>10</v>
      </c>
      <c r="E114" s="51">
        <f>6315*C114</f>
        <v>4736.25</v>
      </c>
      <c r="F114" s="50">
        <f>E114*0.15</f>
        <v>710.4375</v>
      </c>
      <c r="G114" s="51">
        <f t="shared" ref="G114:G118" si="37">E114+F114</f>
        <v>5446.6875</v>
      </c>
      <c r="H114" s="51"/>
      <c r="I114" s="51">
        <f>G114*0.1</f>
        <v>544.66875000000005</v>
      </c>
      <c r="J114" s="51"/>
      <c r="K114" s="51">
        <f>G114*0.3</f>
        <v>1634.0062499999999</v>
      </c>
      <c r="L114" s="51">
        <f>20000*C114-G114-I114-K114</f>
        <v>7374.6374999999989</v>
      </c>
      <c r="M114" s="51"/>
      <c r="N114" s="51"/>
      <c r="O114" s="51"/>
      <c r="P114" s="51"/>
      <c r="Q114" s="51"/>
      <c r="R114" s="51">
        <f>G114+I114+K114+L114</f>
        <v>14999.999999999998</v>
      </c>
      <c r="S114" s="53">
        <f>R114*5</f>
        <v>74999.999999999985</v>
      </c>
      <c r="T114" s="97"/>
    </row>
    <row r="115" spans="1:20" x14ac:dyDescent="0.25">
      <c r="A115" s="48" t="s">
        <v>206</v>
      </c>
      <c r="B115" s="49" t="s">
        <v>207</v>
      </c>
      <c r="C115" s="50">
        <v>1</v>
      </c>
      <c r="D115" s="50">
        <v>9</v>
      </c>
      <c r="E115" s="51">
        <f>6003*C115</f>
        <v>6003</v>
      </c>
      <c r="F115" s="50">
        <f>E115*0.15</f>
        <v>900.44999999999993</v>
      </c>
      <c r="G115" s="51">
        <f t="shared" si="37"/>
        <v>6903.45</v>
      </c>
      <c r="H115" s="51"/>
      <c r="I115" s="51"/>
      <c r="J115" s="51"/>
      <c r="K115" s="51">
        <f t="shared" ref="K115:K116" si="38">G115*0.3</f>
        <v>2071.0349999999999</v>
      </c>
      <c r="L115" s="51">
        <f>20000-G115-K115</f>
        <v>11025.514999999999</v>
      </c>
      <c r="M115" s="51"/>
      <c r="N115" s="51"/>
      <c r="O115" s="51"/>
      <c r="P115" s="51"/>
      <c r="Q115" s="51"/>
      <c r="R115" s="51">
        <f>G115+I115+K115+L115</f>
        <v>20000</v>
      </c>
      <c r="S115" s="53">
        <f t="shared" ref="S115:S117" si="39">R115*5</f>
        <v>100000</v>
      </c>
      <c r="T115" s="97"/>
    </row>
    <row r="116" spans="1:20" x14ac:dyDescent="0.25">
      <c r="A116" s="48" t="s">
        <v>208</v>
      </c>
      <c r="B116" s="49" t="s">
        <v>209</v>
      </c>
      <c r="C116" s="50">
        <v>3</v>
      </c>
      <c r="D116" s="50">
        <v>10</v>
      </c>
      <c r="E116" s="51">
        <f>6315*C116</f>
        <v>18945</v>
      </c>
      <c r="F116" s="50">
        <f>E116*0.15</f>
        <v>2841.75</v>
      </c>
      <c r="G116" s="51">
        <f t="shared" si="37"/>
        <v>21786.75</v>
      </c>
      <c r="H116" s="51"/>
      <c r="I116" s="51">
        <f>G116*0.1</f>
        <v>2178.6750000000002</v>
      </c>
      <c r="J116" s="51"/>
      <c r="K116" s="51">
        <f t="shared" si="38"/>
        <v>6536.0249999999996</v>
      </c>
      <c r="L116" s="51">
        <f>13500*C116-G116-I116-K116</f>
        <v>9998.5500000000011</v>
      </c>
      <c r="M116" s="51"/>
      <c r="N116" s="51"/>
      <c r="O116" s="51"/>
      <c r="P116" s="51"/>
      <c r="Q116" s="51"/>
      <c r="R116" s="51">
        <f>G116+I116+K116+L116</f>
        <v>40500</v>
      </c>
      <c r="S116" s="53">
        <f t="shared" si="39"/>
        <v>202500</v>
      </c>
      <c r="T116" s="97"/>
    </row>
    <row r="117" spans="1:20" s="71" customFormat="1" x14ac:dyDescent="0.25">
      <c r="A117" s="48" t="s">
        <v>210</v>
      </c>
      <c r="B117" s="49" t="s">
        <v>211</v>
      </c>
      <c r="C117" s="50">
        <v>1</v>
      </c>
      <c r="D117" s="50">
        <v>3</v>
      </c>
      <c r="E117" s="51">
        <f>4095*C117</f>
        <v>4095</v>
      </c>
      <c r="F117" s="50">
        <f>E117*0.15</f>
        <v>614.25</v>
      </c>
      <c r="G117" s="51">
        <f t="shared" si="37"/>
        <v>4709.25</v>
      </c>
      <c r="H117" s="51"/>
      <c r="I117" s="51">
        <f>G117*0.1</f>
        <v>470.92500000000001</v>
      </c>
      <c r="J117" s="51"/>
      <c r="K117" s="51" t="s">
        <v>212</v>
      </c>
      <c r="L117" s="51"/>
      <c r="M117" s="51"/>
      <c r="N117" s="51"/>
      <c r="O117" s="51"/>
      <c r="P117" s="51">
        <f>8647*C117-E117</f>
        <v>4552</v>
      </c>
      <c r="Q117" s="51"/>
      <c r="R117" s="51">
        <f>G117+I117+P117</f>
        <v>9732.1749999999993</v>
      </c>
      <c r="S117" s="53">
        <f t="shared" si="39"/>
        <v>48660.875</v>
      </c>
      <c r="T117" s="91"/>
    </row>
    <row r="118" spans="1:20" s="61" customFormat="1" ht="25.2" customHeight="1" x14ac:dyDescent="0.25">
      <c r="A118" s="103"/>
      <c r="B118" s="104" t="s">
        <v>59</v>
      </c>
      <c r="C118" s="105">
        <f>C114+C115+C116+C117</f>
        <v>5.75</v>
      </c>
      <c r="D118" s="105"/>
      <c r="E118" s="106">
        <f>SUM(E114:E117)</f>
        <v>33779.25</v>
      </c>
      <c r="F118" s="105">
        <f>SUM(F114:F117)</f>
        <v>5066.8874999999998</v>
      </c>
      <c r="G118" s="106">
        <f t="shared" si="37"/>
        <v>38846.137499999997</v>
      </c>
      <c r="H118" s="106"/>
      <c r="I118" s="106">
        <f>SUM(I114:I117)</f>
        <v>3194.2687500000002</v>
      </c>
      <c r="J118" s="106"/>
      <c r="K118" s="106">
        <f>SUM(K114:K117)</f>
        <v>10241.06625</v>
      </c>
      <c r="L118" s="106">
        <f>SUM(L114:L117)</f>
        <v>28398.702499999999</v>
      </c>
      <c r="M118" s="106"/>
      <c r="N118" s="106"/>
      <c r="O118" s="106"/>
      <c r="P118" s="106">
        <f>SUM(P114:P117)</f>
        <v>4552</v>
      </c>
      <c r="Q118" s="106"/>
      <c r="R118" s="106">
        <f>SUM(R114:R117)</f>
        <v>85232.175000000003</v>
      </c>
      <c r="S118" s="60">
        <f>SUM(S114:S117)</f>
        <v>426160.875</v>
      </c>
      <c r="T118" s="98"/>
    </row>
    <row r="119" spans="1:20" s="61" customFormat="1" ht="21.6" customHeight="1" x14ac:dyDescent="0.25">
      <c r="A119" s="109"/>
      <c r="B119" s="110" t="s">
        <v>213</v>
      </c>
      <c r="C119" s="110"/>
      <c r="D119" s="110"/>
      <c r="E119" s="111"/>
      <c r="F119" s="110"/>
      <c r="G119" s="111"/>
      <c r="H119" s="111"/>
      <c r="I119" s="111"/>
      <c r="J119" s="111"/>
      <c r="K119" s="111"/>
      <c r="L119" s="111"/>
      <c r="M119" s="111"/>
      <c r="N119" s="111"/>
      <c r="O119" s="111"/>
      <c r="P119" s="111"/>
      <c r="Q119" s="111"/>
      <c r="R119" s="111"/>
      <c r="S119" s="53"/>
      <c r="T119" s="98"/>
    </row>
    <row r="120" spans="1:20" s="61" customFormat="1" ht="15" customHeight="1" x14ac:dyDescent="0.25">
      <c r="A120" s="112" t="s">
        <v>214</v>
      </c>
      <c r="B120" s="113" t="s">
        <v>215</v>
      </c>
      <c r="C120" s="114">
        <v>0.25</v>
      </c>
      <c r="D120" s="114">
        <v>10</v>
      </c>
      <c r="E120" s="115">
        <f>6315*C120</f>
        <v>1578.75</v>
      </c>
      <c r="F120" s="114">
        <f>E120*0.15</f>
        <v>236.8125</v>
      </c>
      <c r="G120" s="115">
        <f>E120+F120</f>
        <v>1815.5625</v>
      </c>
      <c r="H120" s="115"/>
      <c r="I120" s="115">
        <f>G120*0.1</f>
        <v>181.55625000000001</v>
      </c>
      <c r="J120" s="115"/>
      <c r="K120" s="115">
        <f>G120*0.3</f>
        <v>544.66874999999993</v>
      </c>
      <c r="L120" s="115">
        <f>20000*C120-G120-I120-K120</f>
        <v>2458.2125000000001</v>
      </c>
      <c r="M120" s="115"/>
      <c r="N120" s="115"/>
      <c r="O120" s="115"/>
      <c r="P120" s="115"/>
      <c r="Q120" s="115"/>
      <c r="R120" s="115">
        <f>L120+K120+I120+G120</f>
        <v>5000</v>
      </c>
      <c r="S120" s="53">
        <f>R120*5</f>
        <v>25000</v>
      </c>
      <c r="T120" s="98"/>
    </row>
    <row r="121" spans="1:20" s="61" customFormat="1" ht="13.2" customHeight="1" x14ac:dyDescent="0.25">
      <c r="A121" s="112" t="s">
        <v>216</v>
      </c>
      <c r="B121" s="113" t="s">
        <v>217</v>
      </c>
      <c r="C121" s="114">
        <v>0.25</v>
      </c>
      <c r="D121" s="114">
        <v>10</v>
      </c>
      <c r="E121" s="115">
        <f>6315*C121</f>
        <v>1578.75</v>
      </c>
      <c r="F121" s="114">
        <f>E121*0.15</f>
        <v>236.8125</v>
      </c>
      <c r="G121" s="115">
        <f>E121+F121</f>
        <v>1815.5625</v>
      </c>
      <c r="H121" s="115"/>
      <c r="I121" s="115">
        <f>G121*0.1</f>
        <v>181.55625000000001</v>
      </c>
      <c r="J121" s="115"/>
      <c r="K121" s="115">
        <f>G121*0.3</f>
        <v>544.66874999999993</v>
      </c>
      <c r="L121" s="115">
        <f>20000*C121-G121-I121-K121</f>
        <v>2458.2125000000001</v>
      </c>
      <c r="M121" s="115"/>
      <c r="N121" s="115"/>
      <c r="O121" s="115"/>
      <c r="P121" s="115"/>
      <c r="Q121" s="115"/>
      <c r="R121" s="115">
        <f t="shared" ref="R121" si="40">L121+K121+I121+G121</f>
        <v>5000</v>
      </c>
      <c r="S121" s="53">
        <f>R121*5</f>
        <v>25000</v>
      </c>
      <c r="T121" s="98"/>
    </row>
    <row r="122" spans="1:20" s="61" customFormat="1" ht="21.6" customHeight="1" x14ac:dyDescent="0.25">
      <c r="A122" s="112"/>
      <c r="B122" s="116" t="s">
        <v>59</v>
      </c>
      <c r="C122" s="110">
        <v>0.5</v>
      </c>
      <c r="D122" s="110"/>
      <c r="E122" s="111">
        <f>SUM(E120:E121)</f>
        <v>3157.5</v>
      </c>
      <c r="F122" s="110">
        <f>SUM(F120:F121)</f>
        <v>473.625</v>
      </c>
      <c r="G122" s="111">
        <f>SUM(G120:G121)</f>
        <v>3631.125</v>
      </c>
      <c r="H122" s="111"/>
      <c r="I122" s="111">
        <f>SUM(I120:I121)</f>
        <v>363.11250000000001</v>
      </c>
      <c r="J122" s="111"/>
      <c r="K122" s="111">
        <f>SUM(K120:K121)</f>
        <v>1089.3374999999999</v>
      </c>
      <c r="L122" s="111">
        <f>SUM(L120:L121)</f>
        <v>4916.4250000000002</v>
      </c>
      <c r="M122" s="111"/>
      <c r="N122" s="111"/>
      <c r="O122" s="111"/>
      <c r="P122" s="111"/>
      <c r="Q122" s="111"/>
      <c r="R122" s="111">
        <f>SUM(R120:R121)</f>
        <v>10000</v>
      </c>
      <c r="S122" s="111">
        <f>SUM(S120:S121)</f>
        <v>50000</v>
      </c>
      <c r="T122" s="98"/>
    </row>
    <row r="123" spans="1:20" ht="23.4" customHeight="1" x14ac:dyDescent="0.25">
      <c r="A123" s="117"/>
      <c r="B123" s="96" t="s">
        <v>218</v>
      </c>
      <c r="C123" s="96"/>
      <c r="D123" s="96"/>
      <c r="E123" s="118"/>
      <c r="F123" s="96"/>
      <c r="G123" s="51"/>
      <c r="H123" s="118"/>
      <c r="I123" s="118"/>
      <c r="J123" s="118"/>
      <c r="K123" s="118"/>
      <c r="L123" s="118"/>
      <c r="M123" s="118"/>
      <c r="N123" s="118"/>
      <c r="O123" s="118"/>
      <c r="P123" s="118"/>
      <c r="Q123" s="118"/>
      <c r="R123" s="118"/>
      <c r="S123" s="118"/>
      <c r="T123" s="97"/>
    </row>
    <row r="124" spans="1:20" ht="14.4" customHeight="1" x14ac:dyDescent="0.25">
      <c r="A124" s="48" t="s">
        <v>219</v>
      </c>
      <c r="B124" s="49" t="s">
        <v>117</v>
      </c>
      <c r="C124" s="50">
        <v>0.25</v>
      </c>
      <c r="D124" s="50">
        <v>10</v>
      </c>
      <c r="E124" s="51">
        <f>6315*C124</f>
        <v>1578.75</v>
      </c>
      <c r="F124" s="50">
        <f t="shared" ref="F124:F127" si="41">E124*0.15</f>
        <v>236.8125</v>
      </c>
      <c r="G124" s="51">
        <f t="shared" si="19"/>
        <v>1815.5625</v>
      </c>
      <c r="H124" s="51"/>
      <c r="I124" s="51"/>
      <c r="J124" s="51"/>
      <c r="K124" s="51">
        <f>G124*0.3</f>
        <v>544.66874999999993</v>
      </c>
      <c r="L124" s="51">
        <f>20000*C124-G124-K124</f>
        <v>2639.7687500000002</v>
      </c>
      <c r="M124" s="51"/>
      <c r="N124" s="51"/>
      <c r="O124" s="51"/>
      <c r="P124" s="51"/>
      <c r="Q124" s="51"/>
      <c r="R124" s="51">
        <f t="shared" ref="R124:R125" si="42">G124+K124+L124</f>
        <v>5000</v>
      </c>
      <c r="S124" s="53">
        <f>R124*5</f>
        <v>25000</v>
      </c>
      <c r="T124" s="97"/>
    </row>
    <row r="125" spans="1:20" x14ac:dyDescent="0.25">
      <c r="A125" s="48" t="s">
        <v>220</v>
      </c>
      <c r="B125" s="49" t="s">
        <v>111</v>
      </c>
      <c r="C125" s="50">
        <v>0.25</v>
      </c>
      <c r="D125" s="50">
        <v>10</v>
      </c>
      <c r="E125" s="51">
        <f>6315*C125</f>
        <v>1578.75</v>
      </c>
      <c r="F125" s="50">
        <f t="shared" si="41"/>
        <v>236.8125</v>
      </c>
      <c r="G125" s="51">
        <f t="shared" si="19"/>
        <v>1815.5625</v>
      </c>
      <c r="H125" s="51"/>
      <c r="I125" s="51"/>
      <c r="J125" s="51"/>
      <c r="K125" s="51">
        <f t="shared" ref="K125:K126" si="43">G125*0.3</f>
        <v>544.66874999999993</v>
      </c>
      <c r="L125" s="51">
        <f>20000*C125-G125-K125</f>
        <v>2639.7687500000002</v>
      </c>
      <c r="M125" s="51"/>
      <c r="N125" s="51"/>
      <c r="O125" s="51"/>
      <c r="P125" s="51"/>
      <c r="Q125" s="51"/>
      <c r="R125" s="51">
        <f t="shared" si="42"/>
        <v>5000</v>
      </c>
      <c r="S125" s="53">
        <f t="shared" ref="S125:S127" si="44">R125*5</f>
        <v>25000</v>
      </c>
      <c r="T125" s="97"/>
    </row>
    <row r="126" spans="1:20" x14ac:dyDescent="0.25">
      <c r="A126" s="48" t="s">
        <v>221</v>
      </c>
      <c r="B126" s="49" t="s">
        <v>141</v>
      </c>
      <c r="C126" s="50">
        <v>3.5</v>
      </c>
      <c r="D126" s="50">
        <v>9</v>
      </c>
      <c r="E126" s="51">
        <f>6003*C126</f>
        <v>21010.5</v>
      </c>
      <c r="F126" s="50">
        <f t="shared" si="41"/>
        <v>3151.5749999999998</v>
      </c>
      <c r="G126" s="51">
        <f t="shared" si="19"/>
        <v>24162.075000000001</v>
      </c>
      <c r="H126" s="51"/>
      <c r="I126" s="51">
        <f t="shared" ref="I126:I127" si="45">G126*0.1</f>
        <v>2416.2075</v>
      </c>
      <c r="J126" s="51"/>
      <c r="K126" s="51">
        <f t="shared" si="43"/>
        <v>7248.6225000000004</v>
      </c>
      <c r="L126" s="51">
        <f>13500*C126-G126-K126-I126-N126</f>
        <v>11157.194999999998</v>
      </c>
      <c r="M126" s="51"/>
      <c r="N126" s="51">
        <f>647.4*C126</f>
        <v>2265.9</v>
      </c>
      <c r="O126" s="51"/>
      <c r="P126" s="51"/>
      <c r="Q126" s="51"/>
      <c r="R126" s="51">
        <f>G126+K126+L126+I126+N126</f>
        <v>47250</v>
      </c>
      <c r="S126" s="53">
        <f t="shared" si="44"/>
        <v>236250</v>
      </c>
      <c r="T126" s="97"/>
    </row>
    <row r="127" spans="1:20" s="23" customFormat="1" x14ac:dyDescent="0.25">
      <c r="A127" s="48" t="s">
        <v>222</v>
      </c>
      <c r="B127" s="49" t="s">
        <v>145</v>
      </c>
      <c r="C127" s="50">
        <v>2.5</v>
      </c>
      <c r="D127" s="50">
        <v>4</v>
      </c>
      <c r="E127" s="51">
        <f>4407*C127</f>
        <v>11017.5</v>
      </c>
      <c r="F127" s="50">
        <f t="shared" si="41"/>
        <v>1652.625</v>
      </c>
      <c r="G127" s="51">
        <f t="shared" si="19"/>
        <v>12670.125</v>
      </c>
      <c r="H127" s="51"/>
      <c r="I127" s="51">
        <f t="shared" si="45"/>
        <v>1267.0125</v>
      </c>
      <c r="J127" s="51"/>
      <c r="K127" s="51"/>
      <c r="L127" s="51"/>
      <c r="M127" s="51"/>
      <c r="N127" s="51">
        <f>475.33*C127</f>
        <v>1188.325</v>
      </c>
      <c r="O127" s="51"/>
      <c r="P127" s="51">
        <f>8647*C127-E127</f>
        <v>10600</v>
      </c>
      <c r="Q127" s="51"/>
      <c r="R127" s="51">
        <f>G127+I127+P127+N127</f>
        <v>25725.462500000001</v>
      </c>
      <c r="S127" s="53">
        <f t="shared" si="44"/>
        <v>128627.3125</v>
      </c>
      <c r="T127" s="100"/>
    </row>
    <row r="128" spans="1:20" s="61" customFormat="1" ht="21.6" customHeight="1" thickBot="1" x14ac:dyDescent="0.3">
      <c r="A128" s="55"/>
      <c r="B128" s="119" t="s">
        <v>59</v>
      </c>
      <c r="C128" s="57">
        <f>SUM(C124:C127)</f>
        <v>6.5</v>
      </c>
      <c r="D128" s="57"/>
      <c r="E128" s="58">
        <f>SUM(E124:E127)</f>
        <v>35185.5</v>
      </c>
      <c r="F128" s="57">
        <f>SUM(F124:F127)</f>
        <v>5277.8249999999998</v>
      </c>
      <c r="G128" s="58">
        <f>SUM(G124:G127)</f>
        <v>40463.324999999997</v>
      </c>
      <c r="H128" s="58"/>
      <c r="I128" s="58">
        <f>SUM(I124:I127)</f>
        <v>3683.2200000000003</v>
      </c>
      <c r="J128" s="58"/>
      <c r="K128" s="58">
        <f>SUM(K124:K127)</f>
        <v>8337.9600000000009</v>
      </c>
      <c r="L128" s="58">
        <f>SUM(L124:L127)</f>
        <v>16436.732499999998</v>
      </c>
      <c r="M128" s="58"/>
      <c r="N128" s="58">
        <f>SUM(N124:N127)</f>
        <v>3454.2250000000004</v>
      </c>
      <c r="O128" s="58"/>
      <c r="P128" s="58">
        <f>SUM(P124:P127)</f>
        <v>10600</v>
      </c>
      <c r="Q128" s="58"/>
      <c r="R128" s="58">
        <f>SUM(R124:R127)</f>
        <v>82975.462499999994</v>
      </c>
      <c r="S128" s="64">
        <f>SUM(S124:S127)</f>
        <v>414877.3125</v>
      </c>
      <c r="T128" s="98"/>
    </row>
    <row r="129" spans="1:20" s="102" customFormat="1" ht="27" customHeight="1" x14ac:dyDescent="0.25">
      <c r="A129" s="108"/>
      <c r="B129" s="45" t="s">
        <v>223</v>
      </c>
      <c r="C129" s="65"/>
      <c r="D129" s="65"/>
      <c r="E129" s="66"/>
      <c r="F129" s="65"/>
      <c r="G129" s="66"/>
      <c r="H129" s="66"/>
      <c r="I129" s="66"/>
      <c r="J129" s="66"/>
      <c r="K129" s="66"/>
      <c r="L129" s="66"/>
      <c r="M129" s="66"/>
      <c r="N129" s="66"/>
      <c r="O129" s="66"/>
      <c r="P129" s="66"/>
      <c r="Q129" s="66"/>
      <c r="R129" s="66"/>
      <c r="S129" s="90"/>
      <c r="T129" s="120"/>
    </row>
    <row r="130" spans="1:20" s="23" customFormat="1" x14ac:dyDescent="0.25">
      <c r="A130" s="48" t="s">
        <v>224</v>
      </c>
      <c r="B130" s="121" t="s">
        <v>107</v>
      </c>
      <c r="C130" s="50">
        <v>1</v>
      </c>
      <c r="D130" s="50">
        <v>13</v>
      </c>
      <c r="E130" s="51">
        <f>7877*C130</f>
        <v>7877</v>
      </c>
      <c r="F130" s="50">
        <f>E130*0.2</f>
        <v>1575.4</v>
      </c>
      <c r="G130" s="51">
        <f t="shared" ref="G130:G131" si="46">E130+F130</f>
        <v>9452.4</v>
      </c>
      <c r="H130" s="51"/>
      <c r="I130" s="51"/>
      <c r="J130" s="51"/>
      <c r="K130" s="51">
        <f t="shared" ref="K130:K131" si="47">G130*0.3</f>
        <v>2835.72</v>
      </c>
      <c r="L130" s="51">
        <f t="shared" ref="L130" si="48">20000-G130-K130</f>
        <v>7711.880000000001</v>
      </c>
      <c r="M130" s="51"/>
      <c r="N130" s="51"/>
      <c r="O130" s="51"/>
      <c r="P130" s="51"/>
      <c r="Q130" s="51"/>
      <c r="R130" s="51">
        <f>G130+K130+L130+O130</f>
        <v>20000</v>
      </c>
      <c r="S130" s="53">
        <f>R130*5</f>
        <v>100000</v>
      </c>
      <c r="T130" s="100"/>
    </row>
    <row r="131" spans="1:20" s="71" customFormat="1" x14ac:dyDescent="0.25">
      <c r="A131" s="48" t="s">
        <v>225</v>
      </c>
      <c r="B131" s="49" t="s">
        <v>139</v>
      </c>
      <c r="C131" s="50">
        <v>1</v>
      </c>
      <c r="D131" s="50">
        <v>10</v>
      </c>
      <c r="E131" s="51">
        <f>6315*C131</f>
        <v>6315</v>
      </c>
      <c r="F131" s="50">
        <f>E131*0.1</f>
        <v>631.5</v>
      </c>
      <c r="G131" s="51">
        <f t="shared" si="46"/>
        <v>6946.5</v>
      </c>
      <c r="H131" s="51"/>
      <c r="I131" s="51"/>
      <c r="J131" s="51"/>
      <c r="K131" s="51">
        <f t="shared" si="47"/>
        <v>2083.9499999999998</v>
      </c>
      <c r="L131" s="51">
        <f>13500-G131-K131</f>
        <v>4469.55</v>
      </c>
      <c r="M131" s="51"/>
      <c r="N131" s="51"/>
      <c r="O131" s="51"/>
      <c r="P131" s="51"/>
      <c r="Q131" s="51"/>
      <c r="R131" s="51">
        <f>G131+K131+L131</f>
        <v>13500</v>
      </c>
      <c r="S131" s="53">
        <f>R131*5</f>
        <v>67500</v>
      </c>
      <c r="T131" s="91"/>
    </row>
    <row r="132" spans="1:20" x14ac:dyDescent="0.25">
      <c r="A132" s="95"/>
      <c r="B132" s="122"/>
      <c r="C132" s="123"/>
      <c r="D132" s="123"/>
      <c r="E132" s="124"/>
      <c r="F132" s="123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53"/>
      <c r="T132" s="97"/>
    </row>
    <row r="133" spans="1:20" ht="21" customHeight="1" x14ac:dyDescent="0.25">
      <c r="A133" s="48"/>
      <c r="B133" s="125" t="s">
        <v>226</v>
      </c>
      <c r="C133" s="96"/>
      <c r="D133" s="96"/>
      <c r="E133" s="118"/>
      <c r="F133" s="96"/>
      <c r="G133" s="51"/>
      <c r="H133" s="118"/>
      <c r="I133" s="118"/>
      <c r="J133" s="118"/>
      <c r="K133" s="118"/>
      <c r="L133" s="118"/>
      <c r="M133" s="118"/>
      <c r="N133" s="118"/>
      <c r="O133" s="118"/>
      <c r="P133" s="118"/>
      <c r="Q133" s="118"/>
      <c r="R133" s="118"/>
      <c r="S133" s="53"/>
      <c r="T133" s="97"/>
    </row>
    <row r="134" spans="1:20" ht="11.4" customHeight="1" x14ac:dyDescent="0.25">
      <c r="A134" s="48" t="s">
        <v>227</v>
      </c>
      <c r="B134" s="49" t="s">
        <v>228</v>
      </c>
      <c r="C134" s="50">
        <v>4.5</v>
      </c>
      <c r="D134" s="50">
        <v>14</v>
      </c>
      <c r="E134" s="51">
        <f>8397*C134</f>
        <v>37786.5</v>
      </c>
      <c r="F134" s="50"/>
      <c r="G134" s="51">
        <f t="shared" ref="G134:G140" si="49">E134+F134</f>
        <v>37786.5</v>
      </c>
      <c r="H134" s="51"/>
      <c r="I134" s="51"/>
      <c r="J134" s="51"/>
      <c r="K134" s="51">
        <f t="shared" ref="K134" si="50">G134*0.3</f>
        <v>11335.949999999999</v>
      </c>
      <c r="L134" s="51">
        <f>20000*C134-G134-K134</f>
        <v>40877.550000000003</v>
      </c>
      <c r="M134" s="51"/>
      <c r="N134" s="51"/>
      <c r="O134" s="51"/>
      <c r="P134" s="51"/>
      <c r="Q134" s="51"/>
      <c r="R134" s="51">
        <f>G134+K134+L134+O134</f>
        <v>90000</v>
      </c>
      <c r="S134" s="53">
        <f>R134*5</f>
        <v>450000</v>
      </c>
    </row>
    <row r="135" spans="1:20" x14ac:dyDescent="0.25">
      <c r="A135" s="48" t="s">
        <v>229</v>
      </c>
      <c r="B135" s="49" t="s">
        <v>230</v>
      </c>
      <c r="C135" s="50">
        <v>1</v>
      </c>
      <c r="D135" s="50">
        <v>13</v>
      </c>
      <c r="E135" s="51">
        <f>7877*C135</f>
        <v>7877</v>
      </c>
      <c r="F135" s="50"/>
      <c r="G135" s="51">
        <f t="shared" si="49"/>
        <v>7877</v>
      </c>
      <c r="H135" s="51"/>
      <c r="I135" s="51"/>
      <c r="J135" s="51"/>
      <c r="K135" s="51">
        <f>G135*0.3</f>
        <v>2363.1</v>
      </c>
      <c r="L135" s="51">
        <f>20000-G135-K135</f>
        <v>9759.9</v>
      </c>
      <c r="M135" s="51"/>
      <c r="N135" s="51"/>
      <c r="O135" s="51"/>
      <c r="P135" s="51"/>
      <c r="Q135" s="51"/>
      <c r="R135" s="51">
        <f>G135+K135+L135+O135</f>
        <v>20000</v>
      </c>
      <c r="S135" s="53">
        <f t="shared" ref="S135:S140" si="51">R135*5</f>
        <v>100000</v>
      </c>
    </row>
    <row r="136" spans="1:20" s="23" customFormat="1" x14ac:dyDescent="0.25">
      <c r="A136" s="48" t="s">
        <v>231</v>
      </c>
      <c r="B136" s="49" t="s">
        <v>119</v>
      </c>
      <c r="C136" s="50">
        <v>1</v>
      </c>
      <c r="D136" s="50">
        <v>12</v>
      </c>
      <c r="E136" s="51">
        <f>7356*C136</f>
        <v>7356</v>
      </c>
      <c r="F136" s="50"/>
      <c r="G136" s="51">
        <f t="shared" si="49"/>
        <v>7356</v>
      </c>
      <c r="H136" s="51"/>
      <c r="I136" s="51"/>
      <c r="J136" s="51"/>
      <c r="K136" s="51">
        <f t="shared" ref="K136:K138" si="52">G136*0.3</f>
        <v>2206.7999999999997</v>
      </c>
      <c r="L136" s="51">
        <f t="shared" ref="L136" si="53">20000-G136-K136</f>
        <v>10437.200000000001</v>
      </c>
      <c r="M136" s="51"/>
      <c r="N136" s="51"/>
      <c r="O136" s="51"/>
      <c r="P136" s="51"/>
      <c r="Q136" s="51"/>
      <c r="R136" s="51">
        <f>G136+K136+L136+O136</f>
        <v>20000</v>
      </c>
      <c r="S136" s="53">
        <f t="shared" si="51"/>
        <v>100000</v>
      </c>
    </row>
    <row r="137" spans="1:20" x14ac:dyDescent="0.25">
      <c r="A137" s="48" t="s">
        <v>232</v>
      </c>
      <c r="B137" s="49" t="s">
        <v>233</v>
      </c>
      <c r="C137" s="50">
        <v>5</v>
      </c>
      <c r="D137" s="50">
        <v>10</v>
      </c>
      <c r="E137" s="51">
        <f>6315*C137</f>
        <v>31575</v>
      </c>
      <c r="F137" s="50"/>
      <c r="G137" s="51">
        <f t="shared" si="49"/>
        <v>31575</v>
      </c>
      <c r="H137" s="51"/>
      <c r="I137" s="51">
        <f>G137*0.1</f>
        <v>3157.5</v>
      </c>
      <c r="J137" s="51"/>
      <c r="K137" s="51">
        <f t="shared" si="52"/>
        <v>9472.5</v>
      </c>
      <c r="L137" s="51">
        <f>13500*C137-G137-I137-K137</f>
        <v>23295</v>
      </c>
      <c r="M137" s="51"/>
      <c r="N137" s="51"/>
      <c r="O137" s="51"/>
      <c r="P137" s="51"/>
      <c r="Q137" s="51"/>
      <c r="R137" s="51">
        <f>G137+I137+K137+L137</f>
        <v>67500</v>
      </c>
      <c r="S137" s="53">
        <f t="shared" si="51"/>
        <v>337500</v>
      </c>
      <c r="T137" s="97"/>
    </row>
    <row r="138" spans="1:20" s="23" customFormat="1" x14ac:dyDescent="0.25">
      <c r="A138" s="48" t="s">
        <v>234</v>
      </c>
      <c r="B138" s="49" t="s">
        <v>96</v>
      </c>
      <c r="C138" s="50">
        <v>1</v>
      </c>
      <c r="D138" s="50">
        <v>10</v>
      </c>
      <c r="E138" s="51">
        <f>6315*C138</f>
        <v>6315</v>
      </c>
      <c r="F138" s="50"/>
      <c r="G138" s="51">
        <f t="shared" si="49"/>
        <v>6315</v>
      </c>
      <c r="H138" s="51"/>
      <c r="I138" s="51"/>
      <c r="J138" s="51"/>
      <c r="K138" s="51">
        <f t="shared" si="52"/>
        <v>1894.5</v>
      </c>
      <c r="L138" s="51">
        <f t="shared" ref="L138:L139" si="54">13500-G138-K138</f>
        <v>5290.5</v>
      </c>
      <c r="M138" s="51"/>
      <c r="N138" s="51"/>
      <c r="O138" s="51"/>
      <c r="P138" s="51"/>
      <c r="Q138" s="51"/>
      <c r="R138" s="51">
        <f t="shared" ref="R138:R139" si="55">G138+K138+L138</f>
        <v>13500</v>
      </c>
      <c r="S138" s="53">
        <f t="shared" si="51"/>
        <v>67500</v>
      </c>
    </row>
    <row r="139" spans="1:20" x14ac:dyDescent="0.25">
      <c r="A139" s="48" t="s">
        <v>235</v>
      </c>
      <c r="B139" s="49" t="s">
        <v>236</v>
      </c>
      <c r="C139" s="50">
        <v>1</v>
      </c>
      <c r="D139" s="50">
        <v>10</v>
      </c>
      <c r="E139" s="51">
        <f>6315*C139</f>
        <v>6315</v>
      </c>
      <c r="F139" s="50"/>
      <c r="G139" s="51">
        <f t="shared" si="49"/>
        <v>6315</v>
      </c>
      <c r="H139" s="51"/>
      <c r="I139" s="51"/>
      <c r="J139" s="51"/>
      <c r="K139" s="51">
        <f>G139*0.3</f>
        <v>1894.5</v>
      </c>
      <c r="L139" s="51">
        <f t="shared" si="54"/>
        <v>5290.5</v>
      </c>
      <c r="M139" s="51"/>
      <c r="N139" s="51"/>
      <c r="O139" s="51"/>
      <c r="P139" s="51"/>
      <c r="Q139" s="51"/>
      <c r="R139" s="51">
        <f t="shared" si="55"/>
        <v>13500</v>
      </c>
      <c r="S139" s="53">
        <f t="shared" si="51"/>
        <v>67500</v>
      </c>
    </row>
    <row r="140" spans="1:20" x14ac:dyDescent="0.25">
      <c r="A140" s="48" t="s">
        <v>237</v>
      </c>
      <c r="B140" s="49" t="s">
        <v>145</v>
      </c>
      <c r="C140" s="50">
        <v>2</v>
      </c>
      <c r="D140" s="50">
        <v>3</v>
      </c>
      <c r="E140" s="51">
        <f>4095*C140</f>
        <v>8190</v>
      </c>
      <c r="F140" s="50"/>
      <c r="G140" s="51">
        <f t="shared" si="49"/>
        <v>8190</v>
      </c>
      <c r="H140" s="51"/>
      <c r="I140" s="51">
        <f>G140*0.1</f>
        <v>819</v>
      </c>
      <c r="J140" s="51"/>
      <c r="K140" s="51"/>
      <c r="L140" s="51"/>
      <c r="M140" s="51"/>
      <c r="N140" s="51"/>
      <c r="O140" s="51"/>
      <c r="P140" s="51">
        <f>8647*C140-G140</f>
        <v>9104</v>
      </c>
      <c r="Q140" s="51"/>
      <c r="R140" s="51">
        <f>SUM(G140:Q140)</f>
        <v>18113</v>
      </c>
      <c r="S140" s="53">
        <f t="shared" si="51"/>
        <v>90565</v>
      </c>
    </row>
    <row r="141" spans="1:20" s="61" customFormat="1" ht="25.8" customHeight="1" thickBot="1" x14ac:dyDescent="0.3">
      <c r="A141" s="55"/>
      <c r="B141" s="56" t="s">
        <v>59</v>
      </c>
      <c r="C141" s="57">
        <f>SUM(C130:C140)</f>
        <v>17.5</v>
      </c>
      <c r="D141" s="57"/>
      <c r="E141" s="58">
        <f>SUM(E130:E140)</f>
        <v>119606.5</v>
      </c>
      <c r="F141" s="57">
        <f>SUM(F130:F140)</f>
        <v>2206.9</v>
      </c>
      <c r="G141" s="58">
        <f>SUM(G130:G140)</f>
        <v>121813.4</v>
      </c>
      <c r="H141" s="58"/>
      <c r="I141" s="58">
        <f>SUM(I130:I140)</f>
        <v>3976.5</v>
      </c>
      <c r="J141" s="58"/>
      <c r="K141" s="58">
        <f>SUM(K130:K140)</f>
        <v>34087.019999999997</v>
      </c>
      <c r="L141" s="58">
        <f>SUM(L130:L140)</f>
        <v>107132.08</v>
      </c>
      <c r="M141" s="58">
        <f>SUM(M140:M140)</f>
        <v>0</v>
      </c>
      <c r="N141" s="58"/>
      <c r="O141" s="58">
        <f>SUM(O135:O140)</f>
        <v>0</v>
      </c>
      <c r="P141" s="58">
        <f>SUM(P140:P140)</f>
        <v>9104</v>
      </c>
      <c r="Q141" s="58"/>
      <c r="R141" s="58">
        <f>SUM(R130:R140)</f>
        <v>276113</v>
      </c>
      <c r="S141" s="64">
        <f>SUM(S130:S140)</f>
        <v>1380565</v>
      </c>
    </row>
    <row r="142" spans="1:20" ht="27.6" customHeight="1" x14ac:dyDescent="0.25">
      <c r="A142" s="108"/>
      <c r="B142" s="99" t="s">
        <v>238</v>
      </c>
      <c r="C142" s="65"/>
      <c r="D142" s="65"/>
      <c r="E142" s="66"/>
      <c r="F142" s="65"/>
      <c r="G142" s="66"/>
      <c r="H142" s="66"/>
      <c r="I142" s="66"/>
      <c r="J142" s="66"/>
      <c r="K142" s="66"/>
      <c r="L142" s="66"/>
      <c r="M142" s="66"/>
      <c r="N142" s="66"/>
      <c r="O142" s="66"/>
      <c r="P142" s="66"/>
      <c r="Q142" s="66"/>
      <c r="R142" s="66"/>
      <c r="S142" s="90"/>
    </row>
    <row r="143" spans="1:20" x14ac:dyDescent="0.25">
      <c r="A143" s="48" t="s">
        <v>239</v>
      </c>
      <c r="B143" s="49" t="s">
        <v>240</v>
      </c>
      <c r="C143" s="50">
        <v>6.5</v>
      </c>
      <c r="D143" s="50">
        <v>10</v>
      </c>
      <c r="E143" s="51">
        <f>6315*C143</f>
        <v>41047.5</v>
      </c>
      <c r="F143" s="50"/>
      <c r="G143" s="51">
        <f t="shared" ref="G143:G144" si="56">E143+F143</f>
        <v>41047.5</v>
      </c>
      <c r="H143" s="51"/>
      <c r="I143" s="51"/>
      <c r="J143" s="51"/>
      <c r="K143" s="51">
        <f t="shared" ref="K143" si="57">G143*0.3</f>
        <v>12314.25</v>
      </c>
      <c r="L143" s="51">
        <f>13500*C143-G143-K143-N143</f>
        <v>29960.904999999999</v>
      </c>
      <c r="M143" s="51"/>
      <c r="N143" s="51">
        <f>681.13*C143</f>
        <v>4427.3450000000003</v>
      </c>
      <c r="O143" s="51"/>
      <c r="P143" s="51"/>
      <c r="Q143" s="51"/>
      <c r="R143" s="51">
        <f t="shared" ref="R143" si="58">G143+K143+L143+N143</f>
        <v>87750</v>
      </c>
      <c r="S143" s="53">
        <f>R143*5</f>
        <v>438750</v>
      </c>
    </row>
    <row r="144" spans="1:20" x14ac:dyDescent="0.25">
      <c r="A144" s="48" t="s">
        <v>241</v>
      </c>
      <c r="B144" s="49" t="s">
        <v>82</v>
      </c>
      <c r="C144" s="50">
        <v>5</v>
      </c>
      <c r="D144" s="50">
        <v>4</v>
      </c>
      <c r="E144" s="51">
        <f>4407*C144</f>
        <v>22035</v>
      </c>
      <c r="F144" s="50"/>
      <c r="G144" s="51">
        <f t="shared" si="56"/>
        <v>22035</v>
      </c>
      <c r="H144" s="51"/>
      <c r="I144" s="51"/>
      <c r="J144" s="51"/>
      <c r="K144" s="51"/>
      <c r="L144" s="51"/>
      <c r="M144" s="51"/>
      <c r="N144" s="51">
        <f>475.33*C144</f>
        <v>2376.65</v>
      </c>
      <c r="O144" s="51"/>
      <c r="P144" s="51">
        <f>8647*C144-G144</f>
        <v>21200</v>
      </c>
      <c r="Q144" s="51"/>
      <c r="R144" s="51">
        <f>E144+P144+N144</f>
        <v>45611.65</v>
      </c>
      <c r="S144" s="53">
        <f>R144*5</f>
        <v>228058.25</v>
      </c>
    </row>
    <row r="145" spans="1:20" s="61" customFormat="1" ht="22.2" customHeight="1" thickBot="1" x14ac:dyDescent="0.3">
      <c r="A145" s="55"/>
      <c r="B145" s="56" t="s">
        <v>59</v>
      </c>
      <c r="C145" s="57">
        <f>SUM(C143:C144)</f>
        <v>11.5</v>
      </c>
      <c r="D145" s="57"/>
      <c r="E145" s="58">
        <f>SUM(E143:E144)</f>
        <v>63082.5</v>
      </c>
      <c r="F145" s="57"/>
      <c r="G145" s="58">
        <f>SUM(G143:G144)</f>
        <v>63082.5</v>
      </c>
      <c r="H145" s="58"/>
      <c r="I145" s="58"/>
      <c r="J145" s="58"/>
      <c r="K145" s="58">
        <f>SUM(K143:K144)</f>
        <v>12314.25</v>
      </c>
      <c r="L145" s="58">
        <f>SUM(L143:L144)</f>
        <v>29960.904999999999</v>
      </c>
      <c r="M145" s="58"/>
      <c r="N145" s="58">
        <f>SUM(N143:N144)</f>
        <v>6803.9950000000008</v>
      </c>
      <c r="O145" s="58"/>
      <c r="P145" s="58">
        <f>SUM(P143:P144)</f>
        <v>21200</v>
      </c>
      <c r="Q145" s="58"/>
      <c r="R145" s="58">
        <f>SUM(R143:R144)</f>
        <v>133361.65</v>
      </c>
      <c r="S145" s="64">
        <f>SUM(S143:S144)</f>
        <v>666808.25</v>
      </c>
    </row>
    <row r="146" spans="1:20" ht="29.4" customHeight="1" x14ac:dyDescent="0.25">
      <c r="A146" s="108"/>
      <c r="B146" s="99" t="s">
        <v>242</v>
      </c>
      <c r="C146" s="65"/>
      <c r="D146" s="65"/>
      <c r="E146" s="66"/>
      <c r="F146" s="65"/>
      <c r="G146" s="66"/>
      <c r="H146" s="66"/>
      <c r="I146" s="66"/>
      <c r="J146" s="66"/>
      <c r="K146" s="66"/>
      <c r="L146" s="66"/>
      <c r="M146" s="66"/>
      <c r="N146" s="66"/>
      <c r="O146" s="66"/>
      <c r="P146" s="66"/>
      <c r="Q146" s="66"/>
      <c r="R146" s="66"/>
      <c r="S146" s="90"/>
    </row>
    <row r="147" spans="1:20" x14ac:dyDescent="0.25">
      <c r="A147" s="48" t="s">
        <v>243</v>
      </c>
      <c r="B147" s="49" t="s">
        <v>228</v>
      </c>
      <c r="C147" s="50">
        <v>1</v>
      </c>
      <c r="D147" s="50">
        <v>12</v>
      </c>
      <c r="E147" s="51">
        <f>7356*C147</f>
        <v>7356</v>
      </c>
      <c r="F147" s="50">
        <f>E147*0.1</f>
        <v>735.6</v>
      </c>
      <c r="G147" s="51">
        <f t="shared" ref="G147:G152" si="59">E147+F147</f>
        <v>8091.6</v>
      </c>
      <c r="H147" s="51"/>
      <c r="I147" s="51"/>
      <c r="J147" s="51"/>
      <c r="K147" s="51">
        <f>G147*0.3</f>
        <v>2427.48</v>
      </c>
      <c r="L147" s="51">
        <f>20000*C147-G147-K147</f>
        <v>9480.92</v>
      </c>
      <c r="M147" s="51"/>
      <c r="N147" s="51"/>
      <c r="O147" s="51"/>
      <c r="P147" s="51"/>
      <c r="Q147" s="51"/>
      <c r="R147" s="51">
        <f>G147+K147+L147</f>
        <v>20000</v>
      </c>
      <c r="S147" s="53">
        <f>R147*5</f>
        <v>100000</v>
      </c>
    </row>
    <row r="148" spans="1:20" x14ac:dyDescent="0.25">
      <c r="A148" s="48" t="s">
        <v>244</v>
      </c>
      <c r="B148" s="49" t="s">
        <v>96</v>
      </c>
      <c r="C148" s="50">
        <v>1</v>
      </c>
      <c r="D148" s="50">
        <v>7</v>
      </c>
      <c r="E148" s="51">
        <f>5344*C148</f>
        <v>5344</v>
      </c>
      <c r="F148" s="50"/>
      <c r="G148" s="51">
        <f t="shared" si="59"/>
        <v>5344</v>
      </c>
      <c r="H148" s="51"/>
      <c r="I148" s="51"/>
      <c r="J148" s="51"/>
      <c r="K148" s="51">
        <f>G148*0.3</f>
        <v>1603.2</v>
      </c>
      <c r="L148" s="51">
        <f>13500-G148-K148</f>
        <v>6552.8</v>
      </c>
      <c r="M148" s="51"/>
      <c r="N148" s="51"/>
      <c r="O148" s="51"/>
      <c r="P148" s="51"/>
      <c r="Q148" s="51"/>
      <c r="R148" s="51">
        <f>G148+K148+L148</f>
        <v>13500</v>
      </c>
      <c r="S148" s="53">
        <f t="shared" ref="S148:S151" si="60">R148*5</f>
        <v>67500</v>
      </c>
    </row>
    <row r="149" spans="1:20" x14ac:dyDescent="0.25">
      <c r="A149" s="48" t="s">
        <v>245</v>
      </c>
      <c r="B149" s="49" t="s">
        <v>145</v>
      </c>
      <c r="C149" s="50">
        <v>1</v>
      </c>
      <c r="D149" s="50">
        <v>3</v>
      </c>
      <c r="E149" s="51">
        <f>4095*C149</f>
        <v>4095</v>
      </c>
      <c r="F149" s="50"/>
      <c r="G149" s="51">
        <f t="shared" si="59"/>
        <v>4095</v>
      </c>
      <c r="H149" s="51"/>
      <c r="I149" s="51">
        <f>G149*0.1</f>
        <v>409.5</v>
      </c>
      <c r="J149" s="51"/>
      <c r="K149" s="51"/>
      <c r="L149" s="51"/>
      <c r="M149" s="51"/>
      <c r="N149" s="51"/>
      <c r="O149" s="51"/>
      <c r="P149" s="51">
        <f>8647-G149</f>
        <v>4552</v>
      </c>
      <c r="Q149" s="51"/>
      <c r="R149" s="51">
        <f>SUM(G149:Q149)</f>
        <v>9056.5</v>
      </c>
      <c r="S149" s="53">
        <f t="shared" si="60"/>
        <v>45282.5</v>
      </c>
    </row>
    <row r="150" spans="1:20" x14ac:dyDescent="0.25">
      <c r="A150" s="48" t="s">
        <v>246</v>
      </c>
      <c r="B150" s="49" t="s">
        <v>247</v>
      </c>
      <c r="C150" s="50">
        <v>1.75</v>
      </c>
      <c r="D150" s="50">
        <v>1</v>
      </c>
      <c r="E150" s="51">
        <f>3470*C150</f>
        <v>6072.5</v>
      </c>
      <c r="F150" s="50"/>
      <c r="G150" s="51">
        <f t="shared" si="59"/>
        <v>6072.5</v>
      </c>
      <c r="H150" s="51"/>
      <c r="I150" s="51"/>
      <c r="J150" s="51"/>
      <c r="K150" s="51"/>
      <c r="L150" s="51"/>
      <c r="M150" s="51"/>
      <c r="N150" s="51"/>
      <c r="O150" s="51"/>
      <c r="P150" s="51">
        <f>8647*C150-G150</f>
        <v>9059.75</v>
      </c>
      <c r="Q150" s="51"/>
      <c r="R150" s="51">
        <f>SUM(G150:Q150)</f>
        <v>15132.25</v>
      </c>
      <c r="S150" s="53">
        <f>R150*3</f>
        <v>45396.75</v>
      </c>
    </row>
    <row r="151" spans="1:20" s="71" customFormat="1" x14ac:dyDescent="0.25">
      <c r="A151" s="48" t="s">
        <v>248</v>
      </c>
      <c r="B151" s="49" t="s">
        <v>249</v>
      </c>
      <c r="C151" s="50">
        <v>0.5</v>
      </c>
      <c r="D151" s="50">
        <v>1</v>
      </c>
      <c r="E151" s="51">
        <f>3470*C151</f>
        <v>1735</v>
      </c>
      <c r="F151" s="50"/>
      <c r="G151" s="51">
        <f t="shared" si="59"/>
        <v>1735</v>
      </c>
      <c r="H151" s="51"/>
      <c r="I151" s="51"/>
      <c r="J151" s="51"/>
      <c r="K151" s="51"/>
      <c r="L151" s="51"/>
      <c r="M151" s="51"/>
      <c r="N151" s="51"/>
      <c r="O151" s="51"/>
      <c r="P151" s="51">
        <f>4323.5-G151</f>
        <v>2588.5</v>
      </c>
      <c r="Q151" s="51"/>
      <c r="R151" s="51">
        <f>SUM(G151:Q151)</f>
        <v>4323.5</v>
      </c>
      <c r="S151" s="53">
        <f t="shared" si="60"/>
        <v>21617.5</v>
      </c>
    </row>
    <row r="152" spans="1:20" s="61" customFormat="1" ht="27" customHeight="1" thickBot="1" x14ac:dyDescent="0.3">
      <c r="A152" s="55"/>
      <c r="B152" s="56" t="s">
        <v>59</v>
      </c>
      <c r="C152" s="57">
        <f>SUM(C147:C151)</f>
        <v>5.25</v>
      </c>
      <c r="D152" s="57"/>
      <c r="E152" s="58">
        <f>SUM(E147:E151)</f>
        <v>24602.5</v>
      </c>
      <c r="F152" s="57">
        <f>SUM(F147:F151)</f>
        <v>735.6</v>
      </c>
      <c r="G152" s="58">
        <f t="shared" si="59"/>
        <v>25338.1</v>
      </c>
      <c r="H152" s="58"/>
      <c r="I152" s="58">
        <f>SUM(I149:I151)</f>
        <v>409.5</v>
      </c>
      <c r="J152" s="58"/>
      <c r="K152" s="58">
        <f>SUM(K147:K151)</f>
        <v>4030.6800000000003</v>
      </c>
      <c r="L152" s="58">
        <f>SUM(L147:L151)</f>
        <v>16033.720000000001</v>
      </c>
      <c r="M152" s="58"/>
      <c r="N152" s="58"/>
      <c r="O152" s="58"/>
      <c r="P152" s="58">
        <f>SUM(P147:P151)</f>
        <v>16200.25</v>
      </c>
      <c r="Q152" s="58"/>
      <c r="R152" s="58">
        <f>SUM(R147:R151)</f>
        <v>62012.25</v>
      </c>
      <c r="S152" s="64">
        <f>SUM(S147:S151)</f>
        <v>279796.75</v>
      </c>
    </row>
    <row r="153" spans="1:20" ht="23.4" customHeight="1" x14ac:dyDescent="0.25">
      <c r="A153" s="108"/>
      <c r="B153" s="99" t="s">
        <v>250</v>
      </c>
      <c r="C153" s="65"/>
      <c r="D153" s="65"/>
      <c r="E153" s="66"/>
      <c r="F153" s="65"/>
      <c r="G153" s="66"/>
      <c r="H153" s="66"/>
      <c r="I153" s="66"/>
      <c r="J153" s="66"/>
      <c r="K153" s="66"/>
      <c r="L153" s="66"/>
      <c r="M153" s="66"/>
      <c r="N153" s="66"/>
      <c r="O153" s="66"/>
      <c r="P153" s="66"/>
      <c r="Q153" s="66"/>
      <c r="R153" s="66"/>
      <c r="S153" s="90"/>
    </row>
    <row r="154" spans="1:20" x14ac:dyDescent="0.25">
      <c r="A154" s="48" t="s">
        <v>251</v>
      </c>
      <c r="B154" s="49" t="s">
        <v>252</v>
      </c>
      <c r="C154" s="50">
        <v>1.25</v>
      </c>
      <c r="D154" s="50">
        <v>13</v>
      </c>
      <c r="E154" s="51">
        <f>7877*C154</f>
        <v>9846.25</v>
      </c>
      <c r="F154" s="50">
        <f>E154*0.1</f>
        <v>984.625</v>
      </c>
      <c r="G154" s="51">
        <f t="shared" ref="G154:G158" si="61">E154+F154</f>
        <v>10830.875</v>
      </c>
      <c r="H154" s="51"/>
      <c r="I154" s="51"/>
      <c r="J154" s="51"/>
      <c r="K154" s="51">
        <f>G154*0.3</f>
        <v>3249.2624999999998</v>
      </c>
      <c r="L154" s="51">
        <f>20000*C154-G154-K154</f>
        <v>10919.862499999999</v>
      </c>
      <c r="M154" s="51"/>
      <c r="N154" s="51"/>
      <c r="O154" s="51"/>
      <c r="P154" s="51"/>
      <c r="Q154" s="51"/>
      <c r="R154" s="51">
        <f>G154+K154+L154+O154</f>
        <v>25000</v>
      </c>
      <c r="S154" s="53">
        <f>R154*5</f>
        <v>125000</v>
      </c>
    </row>
    <row r="155" spans="1:20" x14ac:dyDescent="0.25">
      <c r="A155" s="48" t="s">
        <v>253</v>
      </c>
      <c r="B155" s="49" t="s">
        <v>254</v>
      </c>
      <c r="C155" s="50">
        <v>2</v>
      </c>
      <c r="D155" s="50">
        <v>10</v>
      </c>
      <c r="E155" s="51">
        <f>6315*C155</f>
        <v>12630</v>
      </c>
      <c r="F155" s="50"/>
      <c r="G155" s="51">
        <f t="shared" si="61"/>
        <v>12630</v>
      </c>
      <c r="H155" s="51"/>
      <c r="I155" s="51"/>
      <c r="J155" s="51"/>
      <c r="K155" s="51">
        <f t="shared" ref="K155:K156" si="62">G155*0.3</f>
        <v>3789</v>
      </c>
      <c r="L155" s="51">
        <f>13500*C155-G155-K155</f>
        <v>10581</v>
      </c>
      <c r="M155" s="51"/>
      <c r="N155" s="51"/>
      <c r="O155" s="51"/>
      <c r="P155" s="51"/>
      <c r="Q155" s="51"/>
      <c r="R155" s="51">
        <f>G155+K155+L155</f>
        <v>27000</v>
      </c>
      <c r="S155" s="53">
        <f t="shared" ref="S155:S157" si="63">R155*5</f>
        <v>135000</v>
      </c>
    </row>
    <row r="156" spans="1:20" s="23" customFormat="1" x14ac:dyDescent="0.25">
      <c r="A156" s="48" t="s">
        <v>255</v>
      </c>
      <c r="B156" s="49" t="s">
        <v>256</v>
      </c>
      <c r="C156" s="50">
        <v>1</v>
      </c>
      <c r="D156" s="50">
        <v>7</v>
      </c>
      <c r="E156" s="51">
        <f>5344*C156</f>
        <v>5344</v>
      </c>
      <c r="F156" s="50"/>
      <c r="G156" s="51">
        <f t="shared" si="61"/>
        <v>5344</v>
      </c>
      <c r="H156" s="51"/>
      <c r="I156" s="51"/>
      <c r="J156" s="51"/>
      <c r="K156" s="51">
        <f t="shared" si="62"/>
        <v>1603.2</v>
      </c>
      <c r="L156" s="51">
        <f>13500-G156-K156</f>
        <v>6552.8</v>
      </c>
      <c r="M156" s="51"/>
      <c r="N156" s="51"/>
      <c r="O156" s="51"/>
      <c r="P156" s="51"/>
      <c r="Q156" s="51"/>
      <c r="R156" s="51">
        <f>G156+L156+K156</f>
        <v>13500</v>
      </c>
      <c r="S156" s="53">
        <f t="shared" si="63"/>
        <v>67500</v>
      </c>
    </row>
    <row r="157" spans="1:20" s="71" customFormat="1" x14ac:dyDescent="0.25">
      <c r="A157" s="48" t="s">
        <v>257</v>
      </c>
      <c r="B157" s="49" t="s">
        <v>145</v>
      </c>
      <c r="C157" s="50">
        <v>1</v>
      </c>
      <c r="D157" s="50">
        <v>3</v>
      </c>
      <c r="E157" s="51">
        <f>4095*C157</f>
        <v>4095</v>
      </c>
      <c r="F157" s="50"/>
      <c r="G157" s="51">
        <f t="shared" si="61"/>
        <v>4095</v>
      </c>
      <c r="H157" s="51"/>
      <c r="I157" s="51">
        <f>G157*0.1</f>
        <v>409.5</v>
      </c>
      <c r="J157" s="51"/>
      <c r="K157" s="51"/>
      <c r="L157" s="51"/>
      <c r="M157" s="51"/>
      <c r="N157" s="51"/>
      <c r="O157" s="51"/>
      <c r="P157" s="51">
        <f>8647-G157</f>
        <v>4552</v>
      </c>
      <c r="Q157" s="51"/>
      <c r="R157" s="51">
        <f>G157+I157+P157</f>
        <v>9056.5</v>
      </c>
      <c r="S157" s="53">
        <f t="shared" si="63"/>
        <v>45282.5</v>
      </c>
      <c r="T157" s="91"/>
    </row>
    <row r="158" spans="1:20" s="61" customFormat="1" ht="27" customHeight="1" thickBot="1" x14ac:dyDescent="0.3">
      <c r="A158" s="55"/>
      <c r="B158" s="56" t="s">
        <v>59</v>
      </c>
      <c r="C158" s="57">
        <f>SUM(C154:C157)</f>
        <v>5.25</v>
      </c>
      <c r="D158" s="57"/>
      <c r="E158" s="58">
        <f>SUM(E154:E157)</f>
        <v>31915.25</v>
      </c>
      <c r="F158" s="57">
        <f>SUM(F154:F157)</f>
        <v>984.625</v>
      </c>
      <c r="G158" s="58">
        <f t="shared" si="61"/>
        <v>32899.875</v>
      </c>
      <c r="H158" s="58"/>
      <c r="I158" s="58">
        <f>SUM(I157)</f>
        <v>409.5</v>
      </c>
      <c r="J158" s="58"/>
      <c r="K158" s="58">
        <f>SUM(K154:K157)</f>
        <v>8641.4624999999996</v>
      </c>
      <c r="L158" s="58">
        <f>SUM(L154:L157)</f>
        <v>28053.662499999999</v>
      </c>
      <c r="M158" s="58">
        <f>SUM(M154:M156)</f>
        <v>0</v>
      </c>
      <c r="N158" s="58"/>
      <c r="O158" s="58">
        <f>SUM(O154:O157)</f>
        <v>0</v>
      </c>
      <c r="P158" s="58">
        <f>SUM(P157)</f>
        <v>4552</v>
      </c>
      <c r="Q158" s="58"/>
      <c r="R158" s="58">
        <f>SUM(R154:R157)</f>
        <v>74556.5</v>
      </c>
      <c r="S158" s="64">
        <f>SUM(S154:S157)</f>
        <v>372782.5</v>
      </c>
    </row>
    <row r="159" spans="1:20" ht="17.399999999999999" customHeight="1" x14ac:dyDescent="0.25">
      <c r="A159" s="108"/>
      <c r="B159" s="99" t="s">
        <v>258</v>
      </c>
      <c r="C159" s="65"/>
      <c r="D159" s="65"/>
      <c r="E159" s="66"/>
      <c r="F159" s="65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90"/>
    </row>
    <row r="160" spans="1:20" x14ac:dyDescent="0.25">
      <c r="A160" s="48" t="s">
        <v>259</v>
      </c>
      <c r="B160" s="49" t="s">
        <v>228</v>
      </c>
      <c r="C160" s="50">
        <v>2.25</v>
      </c>
      <c r="D160" s="50">
        <v>11</v>
      </c>
      <c r="E160" s="51">
        <f>6836*C160</f>
        <v>15381</v>
      </c>
      <c r="F160" s="50">
        <f>E160*0.1</f>
        <v>1538.1000000000001</v>
      </c>
      <c r="G160" s="51">
        <f t="shared" ref="G160:G165" si="64">E160+F160</f>
        <v>16919.099999999999</v>
      </c>
      <c r="H160" s="51"/>
      <c r="I160" s="51"/>
      <c r="J160" s="51"/>
      <c r="K160" s="51">
        <f>G160*0.3</f>
        <v>5075.7299999999996</v>
      </c>
      <c r="L160" s="51">
        <f>20000*C160-G160-K160</f>
        <v>23005.170000000002</v>
      </c>
      <c r="M160" s="51"/>
      <c r="N160" s="51"/>
      <c r="O160" s="51"/>
      <c r="P160" s="51"/>
      <c r="Q160" s="51"/>
      <c r="R160" s="51">
        <f>SUM(G160:Q160)</f>
        <v>45000</v>
      </c>
      <c r="S160" s="53">
        <f>R160*5</f>
        <v>225000</v>
      </c>
    </row>
    <row r="161" spans="1:20" x14ac:dyDescent="0.25">
      <c r="A161" s="48" t="s">
        <v>260</v>
      </c>
      <c r="B161" s="49" t="s">
        <v>261</v>
      </c>
      <c r="C161" s="50">
        <v>2</v>
      </c>
      <c r="D161" s="50">
        <v>10</v>
      </c>
      <c r="E161" s="51">
        <f>6315*C161</f>
        <v>12630</v>
      </c>
      <c r="F161" s="50"/>
      <c r="G161" s="51">
        <f t="shared" si="64"/>
        <v>12630</v>
      </c>
      <c r="H161" s="51"/>
      <c r="I161" s="51"/>
      <c r="J161" s="51"/>
      <c r="K161" s="51">
        <f t="shared" ref="K161:K162" si="65">G161*0.3</f>
        <v>3789</v>
      </c>
      <c r="L161" s="51">
        <f>13500*C161-G161-K161</f>
        <v>10581</v>
      </c>
      <c r="M161" s="51"/>
      <c r="N161" s="51"/>
      <c r="O161" s="51"/>
      <c r="P161" s="51"/>
      <c r="Q161" s="51"/>
      <c r="R161" s="51">
        <f>G161+K161+L161</f>
        <v>27000</v>
      </c>
      <c r="S161" s="53">
        <f t="shared" ref="S161:S164" si="66">R161*5</f>
        <v>135000</v>
      </c>
    </row>
    <row r="162" spans="1:20" s="23" customFormat="1" x14ac:dyDescent="0.25">
      <c r="A162" s="48" t="s">
        <v>262</v>
      </c>
      <c r="B162" s="49" t="s">
        <v>96</v>
      </c>
      <c r="C162" s="50">
        <v>2</v>
      </c>
      <c r="D162" s="50">
        <v>9</v>
      </c>
      <c r="E162" s="51">
        <f>6003*C162</f>
        <v>12006</v>
      </c>
      <c r="F162" s="50"/>
      <c r="G162" s="51">
        <f t="shared" si="64"/>
        <v>12006</v>
      </c>
      <c r="H162" s="51"/>
      <c r="I162" s="51"/>
      <c r="J162" s="51"/>
      <c r="K162" s="51">
        <f t="shared" si="65"/>
        <v>3601.7999999999997</v>
      </c>
      <c r="L162" s="51">
        <f>13500*C162-G162-K162</f>
        <v>11392.2</v>
      </c>
      <c r="M162" s="51"/>
      <c r="N162" s="51"/>
      <c r="O162" s="51"/>
      <c r="P162" s="51"/>
      <c r="Q162" s="51"/>
      <c r="R162" s="51">
        <f>G162+K162+L162</f>
        <v>27000</v>
      </c>
      <c r="S162" s="53">
        <f t="shared" si="66"/>
        <v>135000</v>
      </c>
    </row>
    <row r="163" spans="1:20" x14ac:dyDescent="0.25">
      <c r="A163" s="48" t="s">
        <v>263</v>
      </c>
      <c r="B163" s="49" t="s">
        <v>145</v>
      </c>
      <c r="C163" s="50">
        <v>1</v>
      </c>
      <c r="D163" s="50">
        <v>3</v>
      </c>
      <c r="E163" s="51">
        <f>4095*C163</f>
        <v>4095</v>
      </c>
      <c r="F163" s="50"/>
      <c r="G163" s="51">
        <f t="shared" si="64"/>
        <v>4095</v>
      </c>
      <c r="H163" s="51"/>
      <c r="I163" s="51">
        <f>G163*0.1</f>
        <v>409.5</v>
      </c>
      <c r="J163" s="51"/>
      <c r="K163" s="51"/>
      <c r="L163" s="51"/>
      <c r="M163" s="51"/>
      <c r="N163" s="51"/>
      <c r="O163" s="51"/>
      <c r="P163" s="51">
        <f>8647-G163</f>
        <v>4552</v>
      </c>
      <c r="Q163" s="51"/>
      <c r="R163" s="51">
        <f>SUM(G163:Q163)</f>
        <v>9056.5</v>
      </c>
      <c r="S163" s="53">
        <f t="shared" si="66"/>
        <v>45282.5</v>
      </c>
    </row>
    <row r="164" spans="1:20" s="71" customFormat="1" x14ac:dyDescent="0.25">
      <c r="A164" s="48" t="s">
        <v>264</v>
      </c>
      <c r="B164" s="49" t="s">
        <v>265</v>
      </c>
      <c r="C164" s="50">
        <v>1</v>
      </c>
      <c r="D164" s="50">
        <v>5</v>
      </c>
      <c r="E164" s="51">
        <f>4719*C164</f>
        <v>4719</v>
      </c>
      <c r="F164" s="50"/>
      <c r="G164" s="51">
        <f t="shared" si="64"/>
        <v>4719</v>
      </c>
      <c r="H164" s="51"/>
      <c r="I164" s="51"/>
      <c r="J164" s="51"/>
      <c r="K164" s="51"/>
      <c r="L164" s="51"/>
      <c r="M164" s="51"/>
      <c r="N164" s="51"/>
      <c r="O164" s="51"/>
      <c r="P164" s="51">
        <f>8647-G164</f>
        <v>3928</v>
      </c>
      <c r="Q164" s="51"/>
      <c r="R164" s="51">
        <f>G164+P164</f>
        <v>8647</v>
      </c>
      <c r="S164" s="53">
        <f t="shared" si="66"/>
        <v>43235</v>
      </c>
    </row>
    <row r="165" spans="1:20" s="61" customFormat="1" ht="17.399999999999999" customHeight="1" thickBot="1" x14ac:dyDescent="0.3">
      <c r="A165" s="55"/>
      <c r="B165" s="56" t="s">
        <v>59</v>
      </c>
      <c r="C165" s="57">
        <f>SUM(C160:C164)</f>
        <v>8.25</v>
      </c>
      <c r="D165" s="57"/>
      <c r="E165" s="58">
        <f>SUM(E160:E164)</f>
        <v>48831</v>
      </c>
      <c r="F165" s="57">
        <f>SUM(F160:F164)</f>
        <v>1538.1000000000001</v>
      </c>
      <c r="G165" s="58">
        <f t="shared" si="64"/>
        <v>50369.1</v>
      </c>
      <c r="H165" s="58"/>
      <c r="I165" s="58">
        <f>SUM(I163:I164)</f>
        <v>409.5</v>
      </c>
      <c r="J165" s="58"/>
      <c r="K165" s="58">
        <f>SUM(K160:K164)</f>
        <v>12466.529999999999</v>
      </c>
      <c r="L165" s="58">
        <f>SUM(L160:L164)</f>
        <v>44978.369999999995</v>
      </c>
      <c r="M165" s="58">
        <f>M160</f>
        <v>0</v>
      </c>
      <c r="N165" s="58"/>
      <c r="O165" s="58">
        <f>SUM(O160:O164)</f>
        <v>0</v>
      </c>
      <c r="P165" s="58">
        <f>SUM(P163:P164)</f>
        <v>8480</v>
      </c>
      <c r="Q165" s="58"/>
      <c r="R165" s="58">
        <f>SUM(R160:R164)</f>
        <v>116703.5</v>
      </c>
      <c r="S165" s="64">
        <f>SUM(S160:S164)</f>
        <v>583517.5</v>
      </c>
    </row>
    <row r="166" spans="1:20" s="23" customFormat="1" ht="25.8" customHeight="1" x14ac:dyDescent="0.2">
      <c r="A166" s="44"/>
      <c r="B166" s="99" t="s">
        <v>266</v>
      </c>
      <c r="C166" s="65"/>
      <c r="D166" s="65"/>
      <c r="E166" s="66"/>
      <c r="F166" s="65"/>
      <c r="G166" s="66"/>
      <c r="H166" s="66"/>
      <c r="I166" s="66"/>
      <c r="J166" s="66"/>
      <c r="K166" s="66"/>
      <c r="L166" s="66"/>
      <c r="M166" s="66"/>
      <c r="N166" s="66"/>
      <c r="O166" s="66"/>
      <c r="P166" s="66"/>
      <c r="Q166" s="66"/>
      <c r="R166" s="66"/>
      <c r="S166" s="90"/>
    </row>
    <row r="167" spans="1:20" x14ac:dyDescent="0.25">
      <c r="A167" s="48" t="s">
        <v>267</v>
      </c>
      <c r="B167" s="49" t="s">
        <v>252</v>
      </c>
      <c r="C167" s="50">
        <v>1.25</v>
      </c>
      <c r="D167" s="50">
        <v>11</v>
      </c>
      <c r="E167" s="51">
        <f>6836*C167</f>
        <v>8545</v>
      </c>
      <c r="F167" s="50">
        <f>E167*0.1</f>
        <v>854.5</v>
      </c>
      <c r="G167" s="51">
        <f t="shared" ref="G167:G170" si="67">E167+F167</f>
        <v>9399.5</v>
      </c>
      <c r="H167" s="51"/>
      <c r="I167" s="51"/>
      <c r="J167" s="51"/>
      <c r="K167" s="51">
        <f>G167*0.3</f>
        <v>2819.85</v>
      </c>
      <c r="L167" s="51">
        <f>20000*C167-G167-K167</f>
        <v>12780.65</v>
      </c>
      <c r="M167" s="51"/>
      <c r="N167" s="51"/>
      <c r="O167" s="51"/>
      <c r="P167" s="51"/>
      <c r="Q167" s="51"/>
      <c r="R167" s="51">
        <f>G167+K167+L167+O167</f>
        <v>25000</v>
      </c>
      <c r="S167" s="53">
        <f>R167*5</f>
        <v>125000</v>
      </c>
      <c r="T167" s="97"/>
    </row>
    <row r="168" spans="1:20" x14ac:dyDescent="0.25">
      <c r="A168" s="48" t="s">
        <v>268</v>
      </c>
      <c r="B168" s="49" t="s">
        <v>256</v>
      </c>
      <c r="C168" s="50">
        <v>1</v>
      </c>
      <c r="D168" s="50">
        <v>10</v>
      </c>
      <c r="E168" s="51">
        <f>6315*C168</f>
        <v>6315</v>
      </c>
      <c r="F168" s="50"/>
      <c r="G168" s="51">
        <f t="shared" si="67"/>
        <v>6315</v>
      </c>
      <c r="H168" s="51"/>
      <c r="I168" s="51"/>
      <c r="J168" s="51"/>
      <c r="K168" s="51">
        <f t="shared" ref="K168:K169" si="68">G168*0.3</f>
        <v>1894.5</v>
      </c>
      <c r="L168" s="51">
        <f>13500-G168-K168</f>
        <v>5290.5</v>
      </c>
      <c r="M168" s="51"/>
      <c r="N168" s="51"/>
      <c r="O168" s="51"/>
      <c r="P168" s="51"/>
      <c r="Q168" s="51"/>
      <c r="R168" s="51">
        <f>G168+K168+L168</f>
        <v>13500</v>
      </c>
      <c r="S168" s="53">
        <f t="shared" ref="S168:S171" si="69">R168*5</f>
        <v>67500</v>
      </c>
    </row>
    <row r="169" spans="1:20" x14ac:dyDescent="0.25">
      <c r="A169" s="48" t="s">
        <v>269</v>
      </c>
      <c r="B169" s="49" t="s">
        <v>96</v>
      </c>
      <c r="C169" s="50">
        <v>0.5</v>
      </c>
      <c r="D169" s="50">
        <v>10</v>
      </c>
      <c r="E169" s="51">
        <f>6315*C169</f>
        <v>3157.5</v>
      </c>
      <c r="F169" s="50"/>
      <c r="G169" s="51">
        <f t="shared" si="67"/>
        <v>3157.5</v>
      </c>
      <c r="H169" s="51"/>
      <c r="I169" s="51"/>
      <c r="J169" s="51"/>
      <c r="K169" s="51">
        <f t="shared" si="68"/>
        <v>947.25</v>
      </c>
      <c r="L169" s="51">
        <f>13500/2-G169-K169</f>
        <v>2645.25</v>
      </c>
      <c r="M169" s="51"/>
      <c r="N169" s="51"/>
      <c r="O169" s="51"/>
      <c r="P169" s="51"/>
      <c r="Q169" s="51"/>
      <c r="R169" s="51">
        <f>G169+K169+L169</f>
        <v>6750</v>
      </c>
      <c r="S169" s="53">
        <f t="shared" si="69"/>
        <v>33750</v>
      </c>
    </row>
    <row r="170" spans="1:20" x14ac:dyDescent="0.25">
      <c r="A170" s="48" t="s">
        <v>270</v>
      </c>
      <c r="B170" s="49" t="s">
        <v>145</v>
      </c>
      <c r="C170" s="50">
        <v>0.5</v>
      </c>
      <c r="D170" s="50">
        <v>3</v>
      </c>
      <c r="E170" s="51">
        <f>4095*C170</f>
        <v>2047.5</v>
      </c>
      <c r="F170" s="50"/>
      <c r="G170" s="51">
        <f t="shared" si="67"/>
        <v>2047.5</v>
      </c>
      <c r="H170" s="51"/>
      <c r="I170" s="51">
        <f>G170*0.1</f>
        <v>204.75</v>
      </c>
      <c r="J170" s="51"/>
      <c r="K170" s="51"/>
      <c r="L170" s="51"/>
      <c r="M170" s="51"/>
      <c r="N170" s="51"/>
      <c r="O170" s="51"/>
      <c r="P170" s="51">
        <f>8647/2-G170</f>
        <v>2276</v>
      </c>
      <c r="Q170" s="51"/>
      <c r="R170" s="51">
        <f>SUM(G170:Q170)</f>
        <v>4528.25</v>
      </c>
      <c r="S170" s="53">
        <f t="shared" si="69"/>
        <v>22641.25</v>
      </c>
    </row>
    <row r="171" spans="1:20" s="71" customFormat="1" x14ac:dyDescent="0.25">
      <c r="A171" s="48" t="s">
        <v>271</v>
      </c>
      <c r="B171" s="49" t="s">
        <v>249</v>
      </c>
      <c r="C171" s="50">
        <v>0.5</v>
      </c>
      <c r="D171" s="50">
        <v>1</v>
      </c>
      <c r="E171" s="51">
        <f>3470</f>
        <v>3470</v>
      </c>
      <c r="F171" s="50"/>
      <c r="G171" s="51">
        <f>E171+F171</f>
        <v>3470</v>
      </c>
      <c r="H171" s="51"/>
      <c r="I171" s="51"/>
      <c r="J171" s="51"/>
      <c r="K171" s="51"/>
      <c r="L171" s="51"/>
      <c r="M171" s="51"/>
      <c r="N171" s="51"/>
      <c r="O171" s="51"/>
      <c r="P171" s="51">
        <f>8647/2-G171</f>
        <v>853.5</v>
      </c>
      <c r="Q171" s="51"/>
      <c r="R171" s="51">
        <f t="shared" ref="R171" si="70">SUM(G171:Q171)</f>
        <v>4323.5</v>
      </c>
      <c r="S171" s="53">
        <f t="shared" si="69"/>
        <v>21617.5</v>
      </c>
    </row>
    <row r="172" spans="1:20" s="93" customFormat="1" ht="25.8" customHeight="1" thickBot="1" x14ac:dyDescent="0.3">
      <c r="A172" s="55"/>
      <c r="B172" s="56" t="s">
        <v>59</v>
      </c>
      <c r="C172" s="57">
        <f>SUM(C167:C171)</f>
        <v>3.75</v>
      </c>
      <c r="D172" s="57"/>
      <c r="E172" s="58">
        <f>SUM(E167:E171)</f>
        <v>23535</v>
      </c>
      <c r="F172" s="57">
        <f>SUM(F167:F171)</f>
        <v>854.5</v>
      </c>
      <c r="G172" s="58">
        <f>SUM(G167:G171)</f>
        <v>24389.5</v>
      </c>
      <c r="H172" s="58"/>
      <c r="I172" s="58">
        <f>SUM(I170:I171)</f>
        <v>204.75</v>
      </c>
      <c r="J172" s="58"/>
      <c r="K172" s="58">
        <f>SUM(K167:K171)</f>
        <v>5661.6</v>
      </c>
      <c r="L172" s="58">
        <f>SUM(L167:L171)</f>
        <v>20716.400000000001</v>
      </c>
      <c r="M172" s="58"/>
      <c r="N172" s="58"/>
      <c r="O172" s="58">
        <f>SUM(O167:O171)</f>
        <v>0</v>
      </c>
      <c r="P172" s="58">
        <f>SUM(P170:P171)</f>
        <v>3129.5</v>
      </c>
      <c r="Q172" s="58"/>
      <c r="R172" s="58">
        <f>SUM(R167:R171)</f>
        <v>54101.75</v>
      </c>
      <c r="S172" s="64">
        <f>SUM(S167:S171)</f>
        <v>270508.75</v>
      </c>
    </row>
    <row r="173" spans="1:20" s="23" customFormat="1" ht="23.4" customHeight="1" x14ac:dyDescent="0.2">
      <c r="A173" s="44"/>
      <c r="B173" s="99" t="s">
        <v>272</v>
      </c>
      <c r="C173" s="65"/>
      <c r="D173" s="65"/>
      <c r="E173" s="66"/>
      <c r="F173" s="65"/>
      <c r="G173" s="66"/>
      <c r="H173" s="66"/>
      <c r="I173" s="66"/>
      <c r="J173" s="66"/>
      <c r="K173" s="66"/>
      <c r="L173" s="66"/>
      <c r="M173" s="66"/>
      <c r="N173" s="66"/>
      <c r="O173" s="66"/>
      <c r="P173" s="66"/>
      <c r="Q173" s="66"/>
      <c r="R173" s="66"/>
      <c r="S173" s="90"/>
    </row>
    <row r="174" spans="1:20" s="23" customFormat="1" x14ac:dyDescent="0.25">
      <c r="A174" s="48" t="s">
        <v>273</v>
      </c>
      <c r="B174" s="49" t="s">
        <v>228</v>
      </c>
      <c r="C174" s="50">
        <v>1</v>
      </c>
      <c r="D174" s="50">
        <v>14</v>
      </c>
      <c r="E174" s="51">
        <f>8397*C174</f>
        <v>8397</v>
      </c>
      <c r="F174" s="50">
        <f>E174*0.1</f>
        <v>839.7</v>
      </c>
      <c r="G174" s="51">
        <f t="shared" ref="G174:G181" si="71">E174+F174</f>
        <v>9236.7000000000007</v>
      </c>
      <c r="H174" s="51"/>
      <c r="I174" s="51"/>
      <c r="J174" s="51"/>
      <c r="K174" s="51">
        <f>G174*0.3</f>
        <v>2771.01</v>
      </c>
      <c r="L174" s="51">
        <f>20000-G174-K174</f>
        <v>7992.2899999999991</v>
      </c>
      <c r="M174" s="51"/>
      <c r="N174" s="51"/>
      <c r="O174" s="51"/>
      <c r="P174" s="51"/>
      <c r="Q174" s="51"/>
      <c r="R174" s="51">
        <f>G174+K174+L174+O174</f>
        <v>20000</v>
      </c>
      <c r="S174" s="53">
        <f>R174*5</f>
        <v>100000</v>
      </c>
    </row>
    <row r="175" spans="1:20" s="23" customFormat="1" x14ac:dyDescent="0.25">
      <c r="A175" s="48" t="s">
        <v>264</v>
      </c>
      <c r="B175" s="49" t="s">
        <v>119</v>
      </c>
      <c r="C175" s="50">
        <v>0.5</v>
      </c>
      <c r="D175" s="50">
        <v>13</v>
      </c>
      <c r="E175" s="51">
        <f>7877*C175</f>
        <v>3938.5</v>
      </c>
      <c r="F175" s="50"/>
      <c r="G175" s="51">
        <f t="shared" si="71"/>
        <v>3938.5</v>
      </c>
      <c r="H175" s="51"/>
      <c r="I175" s="51"/>
      <c r="J175" s="51"/>
      <c r="K175" s="51">
        <f t="shared" ref="K175:K178" si="72">G175*0.3</f>
        <v>1181.55</v>
      </c>
      <c r="L175" s="51">
        <f>20000*C175-G175-K175</f>
        <v>4879.95</v>
      </c>
      <c r="M175" s="51"/>
      <c r="N175" s="51"/>
      <c r="O175" s="51"/>
      <c r="P175" s="51"/>
      <c r="Q175" s="51"/>
      <c r="R175" s="51">
        <f>G175+K175+L175+O175</f>
        <v>10000</v>
      </c>
      <c r="S175" s="53">
        <f t="shared" ref="S175:S180" si="73">R175*5</f>
        <v>50000</v>
      </c>
    </row>
    <row r="176" spans="1:20" x14ac:dyDescent="0.25">
      <c r="A176" s="48" t="s">
        <v>267</v>
      </c>
      <c r="B176" s="49" t="s">
        <v>183</v>
      </c>
      <c r="C176" s="50">
        <v>1</v>
      </c>
      <c r="D176" s="50">
        <v>11</v>
      </c>
      <c r="E176" s="51">
        <f>6836*C176</f>
        <v>6836</v>
      </c>
      <c r="F176" s="50"/>
      <c r="G176" s="51">
        <f t="shared" si="71"/>
        <v>6836</v>
      </c>
      <c r="H176" s="51"/>
      <c r="I176" s="51"/>
      <c r="J176" s="51"/>
      <c r="K176" s="51">
        <f t="shared" si="72"/>
        <v>2050.7999999999997</v>
      </c>
      <c r="L176" s="51">
        <f>20000-G176-K176</f>
        <v>11113.2</v>
      </c>
      <c r="M176" s="51"/>
      <c r="N176" s="51"/>
      <c r="O176" s="51"/>
      <c r="P176" s="51"/>
      <c r="Q176" s="51"/>
      <c r="R176" s="51">
        <f>G176+K176+L176+O176</f>
        <v>20000</v>
      </c>
      <c r="S176" s="53">
        <f t="shared" si="73"/>
        <v>100000</v>
      </c>
    </row>
    <row r="177" spans="1:20" x14ac:dyDescent="0.25">
      <c r="A177" s="48" t="s">
        <v>268</v>
      </c>
      <c r="B177" s="49" t="s">
        <v>254</v>
      </c>
      <c r="C177" s="50">
        <v>1</v>
      </c>
      <c r="D177" s="50">
        <v>10</v>
      </c>
      <c r="E177" s="51">
        <f>6315*C177</f>
        <v>6315</v>
      </c>
      <c r="F177" s="50"/>
      <c r="G177" s="51">
        <f t="shared" si="71"/>
        <v>6315</v>
      </c>
      <c r="H177" s="51"/>
      <c r="I177" s="51"/>
      <c r="J177" s="51"/>
      <c r="K177" s="51">
        <f t="shared" si="72"/>
        <v>1894.5</v>
      </c>
      <c r="L177" s="51">
        <f>13500-G177-K177</f>
        <v>5290.5</v>
      </c>
      <c r="M177" s="51"/>
      <c r="N177" s="51"/>
      <c r="O177" s="51"/>
      <c r="P177" s="51"/>
      <c r="Q177" s="51"/>
      <c r="R177" s="51">
        <f>G177+K177+L177</f>
        <v>13500</v>
      </c>
      <c r="S177" s="53">
        <f t="shared" si="73"/>
        <v>67500</v>
      </c>
    </row>
    <row r="178" spans="1:20" x14ac:dyDescent="0.25">
      <c r="A178" s="48" t="s">
        <v>269</v>
      </c>
      <c r="B178" s="49" t="s">
        <v>256</v>
      </c>
      <c r="C178" s="50">
        <v>2</v>
      </c>
      <c r="D178" s="50">
        <v>10</v>
      </c>
      <c r="E178" s="51">
        <f>5815*C178</f>
        <v>11630</v>
      </c>
      <c r="F178" s="50"/>
      <c r="G178" s="51">
        <f t="shared" si="71"/>
        <v>11630</v>
      </c>
      <c r="H178" s="51"/>
      <c r="I178" s="51"/>
      <c r="J178" s="51"/>
      <c r="K178" s="51">
        <f t="shared" si="72"/>
        <v>3489</v>
      </c>
      <c r="L178" s="51">
        <f>13500*C178-G178-K178</f>
        <v>11881</v>
      </c>
      <c r="M178" s="51"/>
      <c r="N178" s="51"/>
      <c r="O178" s="51"/>
      <c r="P178" s="51"/>
      <c r="Q178" s="51"/>
      <c r="R178" s="51">
        <f t="shared" ref="R178" si="74">G178+K178+L178</f>
        <v>27000</v>
      </c>
      <c r="S178" s="53">
        <f t="shared" si="73"/>
        <v>135000</v>
      </c>
    </row>
    <row r="179" spans="1:20" x14ac:dyDescent="0.25">
      <c r="A179" s="48" t="s">
        <v>270</v>
      </c>
      <c r="B179" s="49" t="s">
        <v>145</v>
      </c>
      <c r="C179" s="50">
        <v>1</v>
      </c>
      <c r="D179" s="50">
        <v>3</v>
      </c>
      <c r="E179" s="51">
        <f>4095*C179</f>
        <v>4095</v>
      </c>
      <c r="F179" s="50"/>
      <c r="G179" s="51">
        <f t="shared" si="71"/>
        <v>4095</v>
      </c>
      <c r="H179" s="51"/>
      <c r="I179" s="51">
        <f>G179*0.1</f>
        <v>409.5</v>
      </c>
      <c r="J179" s="51"/>
      <c r="K179" s="51"/>
      <c r="L179" s="51"/>
      <c r="M179" s="51"/>
      <c r="N179" s="51"/>
      <c r="O179" s="51"/>
      <c r="P179" s="51">
        <f>8647-G179</f>
        <v>4552</v>
      </c>
      <c r="Q179" s="51"/>
      <c r="R179" s="51">
        <f>G179+I179+P179</f>
        <v>9056.5</v>
      </c>
      <c r="S179" s="53">
        <f t="shared" si="73"/>
        <v>45282.5</v>
      </c>
      <c r="T179" s="97"/>
    </row>
    <row r="180" spans="1:20" s="71" customFormat="1" x14ac:dyDescent="0.25">
      <c r="A180" s="48" t="s">
        <v>271</v>
      </c>
      <c r="B180" s="49" t="s">
        <v>265</v>
      </c>
      <c r="C180" s="50">
        <v>0.5</v>
      </c>
      <c r="D180" s="50">
        <v>5</v>
      </c>
      <c r="E180" s="51">
        <f>4719*C180</f>
        <v>2359.5</v>
      </c>
      <c r="F180" s="50"/>
      <c r="G180" s="51">
        <f t="shared" si="71"/>
        <v>2359.5</v>
      </c>
      <c r="H180" s="51"/>
      <c r="I180" s="51"/>
      <c r="J180" s="51"/>
      <c r="K180" s="51"/>
      <c r="L180" s="51"/>
      <c r="M180" s="51"/>
      <c r="N180" s="51"/>
      <c r="O180" s="51"/>
      <c r="P180" s="51">
        <f>8647/2-G180</f>
        <v>1964</v>
      </c>
      <c r="Q180" s="51"/>
      <c r="R180" s="51">
        <f>SUM(G180:Q180)</f>
        <v>4323.5</v>
      </c>
      <c r="S180" s="53">
        <f t="shared" si="73"/>
        <v>21617.5</v>
      </c>
    </row>
    <row r="181" spans="1:20" s="93" customFormat="1" ht="67.2" customHeight="1" thickBot="1" x14ac:dyDescent="0.3">
      <c r="A181" s="55"/>
      <c r="B181" s="56" t="s">
        <v>59</v>
      </c>
      <c r="C181" s="57">
        <f>SUM(C174:C180)</f>
        <v>7</v>
      </c>
      <c r="D181" s="57"/>
      <c r="E181" s="58">
        <f>SUM(E174:E180)</f>
        <v>43571</v>
      </c>
      <c r="F181" s="57">
        <f>SUM(F174:F180)</f>
        <v>839.7</v>
      </c>
      <c r="G181" s="58">
        <f t="shared" si="71"/>
        <v>44410.7</v>
      </c>
      <c r="H181" s="58"/>
      <c r="I181" s="58">
        <f>SUM(I179:I180)</f>
        <v>409.5</v>
      </c>
      <c r="J181" s="58"/>
      <c r="K181" s="58">
        <f>SUM(K174:K180)</f>
        <v>11386.86</v>
      </c>
      <c r="L181" s="58">
        <f>SUM(L174:L180)</f>
        <v>41156.94</v>
      </c>
      <c r="M181" s="58"/>
      <c r="N181" s="58"/>
      <c r="O181" s="58">
        <f>SUM(O174:O180)</f>
        <v>0</v>
      </c>
      <c r="P181" s="58">
        <f>SUM(P174:P180)</f>
        <v>6516</v>
      </c>
      <c r="Q181" s="58"/>
      <c r="R181" s="58">
        <f>SUM(R174:R180)</f>
        <v>103880</v>
      </c>
      <c r="S181" s="64">
        <f>SUM(S174:S180)</f>
        <v>519400</v>
      </c>
    </row>
    <row r="182" spans="1:20" s="23" customFormat="1" ht="22.8" customHeight="1" x14ac:dyDescent="0.2">
      <c r="A182" s="44"/>
      <c r="B182" s="99" t="s">
        <v>274</v>
      </c>
      <c r="C182" s="65"/>
      <c r="D182" s="65"/>
      <c r="E182" s="66"/>
      <c r="F182" s="65"/>
      <c r="G182" s="66"/>
      <c r="H182" s="66"/>
      <c r="I182" s="66"/>
      <c r="J182" s="66"/>
      <c r="K182" s="66"/>
      <c r="L182" s="66"/>
      <c r="M182" s="66"/>
      <c r="N182" s="66"/>
      <c r="O182" s="66"/>
      <c r="P182" s="66"/>
      <c r="Q182" s="66"/>
      <c r="R182" s="66"/>
      <c r="S182" s="90"/>
    </row>
    <row r="183" spans="1:20" s="23" customFormat="1" x14ac:dyDescent="0.25">
      <c r="A183" s="48" t="s">
        <v>273</v>
      </c>
      <c r="B183" s="49" t="s">
        <v>228</v>
      </c>
      <c r="C183" s="50">
        <v>0.75</v>
      </c>
      <c r="D183" s="50">
        <v>14</v>
      </c>
      <c r="E183" s="51">
        <f>8397*C183</f>
        <v>6297.75</v>
      </c>
      <c r="F183" s="50">
        <f>E183*0.1</f>
        <v>629.77500000000009</v>
      </c>
      <c r="G183" s="51">
        <f t="shared" ref="G183:G186" si="75">E183+F183</f>
        <v>6927.5249999999996</v>
      </c>
      <c r="H183" s="51"/>
      <c r="I183" s="51"/>
      <c r="J183" s="51"/>
      <c r="K183" s="51"/>
      <c r="L183" s="51">
        <f>20000*C183-G183</f>
        <v>8072.4750000000004</v>
      </c>
      <c r="M183" s="51"/>
      <c r="N183" s="51"/>
      <c r="O183" s="51"/>
      <c r="P183" s="51"/>
      <c r="Q183" s="51"/>
      <c r="R183" s="51">
        <f>SUM(G183:Q183)</f>
        <v>15000</v>
      </c>
      <c r="S183" s="53">
        <f>R183*5</f>
        <v>75000</v>
      </c>
    </row>
    <row r="184" spans="1:20" x14ac:dyDescent="0.25">
      <c r="A184" s="48" t="s">
        <v>275</v>
      </c>
      <c r="B184" s="49" t="s">
        <v>256</v>
      </c>
      <c r="C184" s="50">
        <v>1</v>
      </c>
      <c r="D184" s="50">
        <v>10</v>
      </c>
      <c r="E184" s="51">
        <f>6315*C184</f>
        <v>6315</v>
      </c>
      <c r="F184" s="50"/>
      <c r="G184" s="51">
        <f t="shared" si="75"/>
        <v>6315</v>
      </c>
      <c r="H184" s="51"/>
      <c r="I184" s="51"/>
      <c r="J184" s="51"/>
      <c r="K184" s="51">
        <f>G184*0.3</f>
        <v>1894.5</v>
      </c>
      <c r="L184" s="51">
        <f>13500-G184-K184</f>
        <v>5290.5</v>
      </c>
      <c r="M184" s="51"/>
      <c r="N184" s="51"/>
      <c r="O184" s="51"/>
      <c r="P184" s="51"/>
      <c r="Q184" s="51"/>
      <c r="R184" s="51">
        <f>G184+K184+L184</f>
        <v>13500</v>
      </c>
      <c r="S184" s="53">
        <f t="shared" ref="S184:S185" si="76">R184*5</f>
        <v>67500</v>
      </c>
      <c r="T184" s="97"/>
    </row>
    <row r="185" spans="1:20" s="71" customFormat="1" x14ac:dyDescent="0.25">
      <c r="A185" s="48" t="s">
        <v>276</v>
      </c>
      <c r="B185" s="49" t="s">
        <v>145</v>
      </c>
      <c r="C185" s="50">
        <v>1</v>
      </c>
      <c r="D185" s="50">
        <v>3</v>
      </c>
      <c r="E185" s="51">
        <f>4095*C185</f>
        <v>4095</v>
      </c>
      <c r="F185" s="50"/>
      <c r="G185" s="51">
        <f t="shared" si="75"/>
        <v>4095</v>
      </c>
      <c r="H185" s="51"/>
      <c r="I185" s="51">
        <f>G185*0.1</f>
        <v>409.5</v>
      </c>
      <c r="J185" s="51"/>
      <c r="K185" s="51"/>
      <c r="L185" s="51"/>
      <c r="M185" s="51"/>
      <c r="N185" s="51"/>
      <c r="O185" s="51"/>
      <c r="P185" s="51">
        <f>8647-G185</f>
        <v>4552</v>
      </c>
      <c r="Q185" s="51"/>
      <c r="R185" s="51">
        <f>G185+I185+P185</f>
        <v>9056.5</v>
      </c>
      <c r="S185" s="53">
        <f t="shared" si="76"/>
        <v>45282.5</v>
      </c>
    </row>
    <row r="186" spans="1:20" s="93" customFormat="1" ht="23.4" customHeight="1" thickBot="1" x14ac:dyDescent="0.3">
      <c r="A186" s="55"/>
      <c r="B186" s="56" t="s">
        <v>59</v>
      </c>
      <c r="C186" s="57">
        <f>SUM(C183:C185)</f>
        <v>2.75</v>
      </c>
      <c r="D186" s="57"/>
      <c r="E186" s="58">
        <f>SUM(E183:E185)</f>
        <v>16707.75</v>
      </c>
      <c r="F186" s="57">
        <f>SUM(F183:F185)</f>
        <v>629.77500000000009</v>
      </c>
      <c r="G186" s="58">
        <f t="shared" si="75"/>
        <v>17337.525000000001</v>
      </c>
      <c r="H186" s="58"/>
      <c r="I186" s="58">
        <f>SUM(I185)</f>
        <v>409.5</v>
      </c>
      <c r="J186" s="58"/>
      <c r="K186" s="58">
        <f>K184</f>
        <v>1894.5</v>
      </c>
      <c r="L186" s="58">
        <f>L183+L184</f>
        <v>13362.975</v>
      </c>
      <c r="M186" s="58">
        <f>M183</f>
        <v>0</v>
      </c>
      <c r="N186" s="58"/>
      <c r="O186" s="58"/>
      <c r="P186" s="58">
        <f>SUM(P185)</f>
        <v>4552</v>
      </c>
      <c r="Q186" s="58"/>
      <c r="R186" s="58">
        <f>SUM(R183:R185)</f>
        <v>37556.5</v>
      </c>
      <c r="S186" s="64">
        <f>SUM(S183:S185)</f>
        <v>187782.5</v>
      </c>
    </row>
    <row r="187" spans="1:20" ht="21" customHeight="1" x14ac:dyDescent="0.25">
      <c r="A187" s="108"/>
      <c r="B187" s="99" t="s">
        <v>277</v>
      </c>
      <c r="C187" s="65"/>
      <c r="D187" s="65"/>
      <c r="E187" s="66"/>
      <c r="F187" s="65"/>
      <c r="G187" s="66"/>
      <c r="H187" s="66"/>
      <c r="I187" s="66"/>
      <c r="J187" s="66"/>
      <c r="K187" s="66"/>
      <c r="L187" s="66"/>
      <c r="M187" s="66"/>
      <c r="N187" s="66"/>
      <c r="O187" s="66"/>
      <c r="P187" s="66"/>
      <c r="Q187" s="66"/>
      <c r="R187" s="66"/>
      <c r="S187" s="90"/>
    </row>
    <row r="188" spans="1:20" ht="24.6" customHeight="1" x14ac:dyDescent="0.25">
      <c r="A188" s="48"/>
      <c r="B188" s="126" t="s">
        <v>278</v>
      </c>
      <c r="C188" s="50"/>
      <c r="D188" s="50"/>
      <c r="E188" s="51"/>
      <c r="F188" s="50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3"/>
    </row>
    <row r="189" spans="1:20" x14ac:dyDescent="0.25">
      <c r="A189" s="48" t="s">
        <v>279</v>
      </c>
      <c r="B189" s="49" t="s">
        <v>280</v>
      </c>
      <c r="C189" s="50">
        <v>0.5</v>
      </c>
      <c r="D189" s="50">
        <v>10</v>
      </c>
      <c r="E189" s="51">
        <f>6315*C189</f>
        <v>3157.5</v>
      </c>
      <c r="F189" s="50"/>
      <c r="G189" s="51">
        <f t="shared" ref="G189:G192" si="77">E189+F189</f>
        <v>3157.5</v>
      </c>
      <c r="H189" s="51"/>
      <c r="I189" s="51"/>
      <c r="J189" s="51"/>
      <c r="K189" s="51">
        <f>G189*0.3</f>
        <v>947.25</v>
      </c>
      <c r="L189" s="51">
        <f>R189-K189-G189</f>
        <v>2645.25</v>
      </c>
      <c r="M189" s="51"/>
      <c r="N189" s="51"/>
      <c r="O189" s="51"/>
      <c r="P189" s="51"/>
      <c r="Q189" s="51"/>
      <c r="R189" s="51">
        <v>6750</v>
      </c>
      <c r="S189" s="53">
        <f>R189*5</f>
        <v>33750</v>
      </c>
    </row>
    <row r="190" spans="1:20" x14ac:dyDescent="0.25">
      <c r="A190" s="48" t="s">
        <v>281</v>
      </c>
      <c r="B190" s="49" t="s">
        <v>145</v>
      </c>
      <c r="C190" s="50">
        <v>0.25</v>
      </c>
      <c r="D190" s="50">
        <v>3</v>
      </c>
      <c r="E190" s="51">
        <f>4095*C190</f>
        <v>1023.75</v>
      </c>
      <c r="F190" s="50"/>
      <c r="G190" s="51">
        <f t="shared" si="77"/>
        <v>1023.75</v>
      </c>
      <c r="H190" s="51"/>
      <c r="I190" s="51">
        <f>G190*0.1</f>
        <v>102.375</v>
      </c>
      <c r="J190" s="51"/>
      <c r="K190" s="51"/>
      <c r="L190" s="51"/>
      <c r="M190" s="51"/>
      <c r="N190" s="51"/>
      <c r="O190" s="51"/>
      <c r="P190" s="51">
        <f>8647*0.25-G190</f>
        <v>1138</v>
      </c>
      <c r="Q190" s="51"/>
      <c r="R190" s="51">
        <f>E190+I190+P190</f>
        <v>2264.125</v>
      </c>
      <c r="S190" s="53">
        <f>R190*5</f>
        <v>11320.625</v>
      </c>
    </row>
    <row r="191" spans="1:20" s="71" customFormat="1" x14ac:dyDescent="0.25">
      <c r="A191" s="48" t="s">
        <v>282</v>
      </c>
      <c r="B191" s="49" t="s">
        <v>283</v>
      </c>
      <c r="C191" s="50">
        <v>0.25</v>
      </c>
      <c r="D191" s="50">
        <v>1</v>
      </c>
      <c r="E191" s="51">
        <f>3470*C191</f>
        <v>867.5</v>
      </c>
      <c r="F191" s="50"/>
      <c r="G191" s="51">
        <f t="shared" si="77"/>
        <v>867.5</v>
      </c>
      <c r="H191" s="51"/>
      <c r="I191" s="51"/>
      <c r="J191" s="51"/>
      <c r="K191" s="51"/>
      <c r="L191" s="51"/>
      <c r="M191" s="51"/>
      <c r="N191" s="51"/>
      <c r="O191" s="51"/>
      <c r="P191" s="51">
        <f>8647*0.25-G191</f>
        <v>1294.25</v>
      </c>
      <c r="Q191" s="51"/>
      <c r="R191" s="51">
        <f>E191+P191</f>
        <v>2161.75</v>
      </c>
      <c r="S191" s="53">
        <f>R191*3</f>
        <v>6485.25</v>
      </c>
    </row>
    <row r="192" spans="1:20" s="61" customFormat="1" ht="24" customHeight="1" thickBot="1" x14ac:dyDescent="0.3">
      <c r="A192" s="103"/>
      <c r="B192" s="104" t="s">
        <v>59</v>
      </c>
      <c r="C192" s="105">
        <f>C189+C190+C191</f>
        <v>1</v>
      </c>
      <c r="D192" s="105"/>
      <c r="E192" s="106">
        <f>E189+E190+E191</f>
        <v>5048.75</v>
      </c>
      <c r="F192" s="105"/>
      <c r="G192" s="106">
        <f t="shared" si="77"/>
        <v>5048.75</v>
      </c>
      <c r="H192" s="106"/>
      <c r="I192" s="106">
        <f>SUM(I190)</f>
        <v>102.375</v>
      </c>
      <c r="J192" s="106"/>
      <c r="K192" s="106">
        <f>SUM(K189:K190)</f>
        <v>947.25</v>
      </c>
      <c r="L192" s="106">
        <f>SUM(L189:L190)</f>
        <v>2645.25</v>
      </c>
      <c r="M192" s="106"/>
      <c r="N192" s="106"/>
      <c r="O192" s="106"/>
      <c r="P192" s="106">
        <f>P190+P191</f>
        <v>2432.25</v>
      </c>
      <c r="Q192" s="106"/>
      <c r="R192" s="106">
        <f>SUM(R189:R191)</f>
        <v>11175.875</v>
      </c>
      <c r="S192" s="107">
        <f>SUM(S189:S191)</f>
        <v>51555.875</v>
      </c>
    </row>
    <row r="193" spans="1:20" s="23" customFormat="1" ht="20.399999999999999" customHeight="1" x14ac:dyDescent="0.2">
      <c r="A193" s="44"/>
      <c r="B193" s="99" t="s">
        <v>284</v>
      </c>
      <c r="C193" s="65"/>
      <c r="D193" s="65"/>
      <c r="E193" s="66"/>
      <c r="F193" s="65"/>
      <c r="G193" s="66"/>
      <c r="H193" s="66"/>
      <c r="I193" s="66"/>
      <c r="J193" s="66"/>
      <c r="K193" s="66"/>
      <c r="L193" s="66"/>
      <c r="M193" s="66"/>
      <c r="N193" s="66"/>
      <c r="O193" s="66"/>
      <c r="P193" s="66"/>
      <c r="Q193" s="66"/>
      <c r="R193" s="66"/>
      <c r="S193" s="90"/>
    </row>
    <row r="194" spans="1:20" x14ac:dyDescent="0.25">
      <c r="A194" s="48" t="s">
        <v>285</v>
      </c>
      <c r="B194" s="49" t="s">
        <v>280</v>
      </c>
      <c r="C194" s="50">
        <v>0.5</v>
      </c>
      <c r="D194" s="50">
        <v>9</v>
      </c>
      <c r="E194" s="51">
        <f>6003*C194</f>
        <v>3001.5</v>
      </c>
      <c r="F194" s="50"/>
      <c r="G194" s="51">
        <f t="shared" ref="G194:G197" si="78">E194+F194</f>
        <v>3001.5</v>
      </c>
      <c r="H194" s="51"/>
      <c r="I194" s="51"/>
      <c r="J194" s="51"/>
      <c r="K194" s="51">
        <f>G194*0.3</f>
        <v>900.44999999999993</v>
      </c>
      <c r="L194" s="51">
        <f>6750-G194-K194</f>
        <v>2848.05</v>
      </c>
      <c r="M194" s="51"/>
      <c r="N194" s="51"/>
      <c r="O194" s="51"/>
      <c r="P194" s="51"/>
      <c r="Q194" s="51"/>
      <c r="R194" s="51">
        <f>G194+K194+L194</f>
        <v>6750</v>
      </c>
      <c r="S194" s="53">
        <f>R194*5</f>
        <v>33750</v>
      </c>
    </row>
    <row r="195" spans="1:20" x14ac:dyDescent="0.25">
      <c r="A195" s="48" t="s">
        <v>286</v>
      </c>
      <c r="B195" s="49" t="s">
        <v>145</v>
      </c>
      <c r="C195" s="50">
        <v>0.25</v>
      </c>
      <c r="D195" s="50">
        <v>3</v>
      </c>
      <c r="E195" s="51">
        <f>4095*C195</f>
        <v>1023.75</v>
      </c>
      <c r="F195" s="50"/>
      <c r="G195" s="51">
        <f t="shared" si="78"/>
        <v>1023.75</v>
      </c>
      <c r="H195" s="51"/>
      <c r="I195" s="51">
        <f>G195*0.1</f>
        <v>102.375</v>
      </c>
      <c r="J195" s="51"/>
      <c r="K195" s="51"/>
      <c r="L195" s="51"/>
      <c r="M195" s="51"/>
      <c r="N195" s="51"/>
      <c r="O195" s="51"/>
      <c r="P195" s="51">
        <f>8647*0.25-G195</f>
        <v>1138</v>
      </c>
      <c r="Q195" s="51"/>
      <c r="R195" s="51">
        <f>E195+I195+P195</f>
        <v>2264.125</v>
      </c>
      <c r="S195" s="53">
        <f>R195*5</f>
        <v>11320.625</v>
      </c>
    </row>
    <row r="196" spans="1:20" s="71" customFormat="1" x14ac:dyDescent="0.25">
      <c r="A196" s="48" t="s">
        <v>287</v>
      </c>
      <c r="B196" s="49" t="s">
        <v>247</v>
      </c>
      <c r="C196" s="50">
        <v>0.5</v>
      </c>
      <c r="D196" s="50">
        <v>1</v>
      </c>
      <c r="E196" s="51">
        <f>3470*C196</f>
        <v>1735</v>
      </c>
      <c r="F196" s="50"/>
      <c r="G196" s="51">
        <f t="shared" si="78"/>
        <v>1735</v>
      </c>
      <c r="H196" s="51"/>
      <c r="I196" s="51"/>
      <c r="J196" s="51"/>
      <c r="K196" s="51"/>
      <c r="L196" s="51"/>
      <c r="M196" s="51"/>
      <c r="N196" s="51"/>
      <c r="O196" s="51"/>
      <c r="P196" s="51">
        <f>8647/2-G196</f>
        <v>2588.5</v>
      </c>
      <c r="Q196" s="51"/>
      <c r="R196" s="51">
        <f>E196+P196</f>
        <v>4323.5</v>
      </c>
      <c r="S196" s="53">
        <f>R196*3</f>
        <v>12970.5</v>
      </c>
    </row>
    <row r="197" spans="1:20" s="61" customFormat="1" ht="27.6" customHeight="1" thickBot="1" x14ac:dyDescent="0.3">
      <c r="A197" s="55"/>
      <c r="B197" s="56" t="s">
        <v>59</v>
      </c>
      <c r="C197" s="57">
        <f>C194+C195+C196</f>
        <v>1.25</v>
      </c>
      <c r="D197" s="57"/>
      <c r="E197" s="58">
        <f>E194+E195+E196</f>
        <v>5760.25</v>
      </c>
      <c r="F197" s="57"/>
      <c r="G197" s="58">
        <f t="shared" si="78"/>
        <v>5760.25</v>
      </c>
      <c r="H197" s="58"/>
      <c r="I197" s="58">
        <f>SUM(I194:I195)</f>
        <v>102.375</v>
      </c>
      <c r="J197" s="58"/>
      <c r="K197" s="58">
        <f>SUM(K194:K196)</f>
        <v>900.44999999999993</v>
      </c>
      <c r="L197" s="58">
        <f>SUM(L193:L195)</f>
        <v>2848.05</v>
      </c>
      <c r="M197" s="58"/>
      <c r="N197" s="58"/>
      <c r="O197" s="58"/>
      <c r="P197" s="58">
        <f>P195+P196</f>
        <v>3726.5</v>
      </c>
      <c r="Q197" s="58"/>
      <c r="R197" s="58">
        <f>SUM(R194:R196)</f>
        <v>13337.625</v>
      </c>
      <c r="S197" s="64">
        <f>SUM(S194:S196)</f>
        <v>58041.125</v>
      </c>
    </row>
    <row r="198" spans="1:20" ht="22.8" customHeight="1" x14ac:dyDescent="0.25">
      <c r="A198" s="127"/>
      <c r="B198" s="128" t="s">
        <v>288</v>
      </c>
      <c r="C198" s="129"/>
      <c r="D198" s="129"/>
      <c r="E198" s="130"/>
      <c r="F198" s="129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1"/>
      <c r="T198" s="132"/>
    </row>
    <row r="199" spans="1:20" x14ac:dyDescent="0.25">
      <c r="A199" s="48" t="s">
        <v>289</v>
      </c>
      <c r="B199" s="49" t="s">
        <v>141</v>
      </c>
      <c r="C199" s="50">
        <v>1</v>
      </c>
      <c r="D199" s="50">
        <v>10</v>
      </c>
      <c r="E199" s="51">
        <f>6315*C199</f>
        <v>6315</v>
      </c>
      <c r="F199" s="50"/>
      <c r="G199" s="51">
        <f t="shared" ref="G199:G202" si="79">E199+F199</f>
        <v>6315</v>
      </c>
      <c r="H199" s="51"/>
      <c r="I199" s="51"/>
      <c r="J199" s="51"/>
      <c r="K199" s="51">
        <f>G199*0.3</f>
        <v>1894.5</v>
      </c>
      <c r="L199" s="51">
        <f>13500-G199-K199</f>
        <v>5290.5</v>
      </c>
      <c r="M199" s="51"/>
      <c r="N199" s="51"/>
      <c r="O199" s="51"/>
      <c r="P199" s="51"/>
      <c r="Q199" s="51"/>
      <c r="R199" s="51">
        <f>G199+K199+L199</f>
        <v>13500</v>
      </c>
      <c r="S199" s="53">
        <f>R199*5</f>
        <v>67500</v>
      </c>
    </row>
    <row r="200" spans="1:20" x14ac:dyDescent="0.25">
      <c r="A200" s="48" t="s">
        <v>290</v>
      </c>
      <c r="B200" s="49" t="s">
        <v>145</v>
      </c>
      <c r="C200" s="50">
        <v>0.25</v>
      </c>
      <c r="D200" s="50">
        <v>3</v>
      </c>
      <c r="E200" s="51">
        <f>4095*C200</f>
        <v>1023.75</v>
      </c>
      <c r="F200" s="50"/>
      <c r="G200" s="51">
        <f t="shared" si="79"/>
        <v>1023.75</v>
      </c>
      <c r="H200" s="51"/>
      <c r="I200" s="51">
        <f>G200*0.1</f>
        <v>102.375</v>
      </c>
      <c r="J200" s="51"/>
      <c r="K200" s="51"/>
      <c r="L200" s="51"/>
      <c r="M200" s="51"/>
      <c r="N200" s="51"/>
      <c r="O200" s="51"/>
      <c r="P200" s="51">
        <f>8647*0.25-G200</f>
        <v>1138</v>
      </c>
      <c r="Q200" s="51"/>
      <c r="R200" s="51">
        <f>E200+I200+P200</f>
        <v>2264.125</v>
      </c>
      <c r="S200" s="53">
        <f>R200*5</f>
        <v>11320.625</v>
      </c>
    </row>
    <row r="201" spans="1:20" s="71" customFormat="1" x14ac:dyDescent="0.25">
      <c r="A201" s="48" t="s">
        <v>291</v>
      </c>
      <c r="B201" s="49" t="s">
        <v>283</v>
      </c>
      <c r="C201" s="50">
        <v>0.25</v>
      </c>
      <c r="D201" s="50">
        <v>1</v>
      </c>
      <c r="E201" s="51">
        <f>3470*C201</f>
        <v>867.5</v>
      </c>
      <c r="F201" s="50"/>
      <c r="G201" s="51">
        <f t="shared" si="79"/>
        <v>867.5</v>
      </c>
      <c r="H201" s="51"/>
      <c r="I201" s="51"/>
      <c r="J201" s="51"/>
      <c r="K201" s="51"/>
      <c r="L201" s="51"/>
      <c r="M201" s="51"/>
      <c r="N201" s="51"/>
      <c r="O201" s="51"/>
      <c r="P201" s="51">
        <f>8647*0.25-G201</f>
        <v>1294.25</v>
      </c>
      <c r="Q201" s="51"/>
      <c r="R201" s="51">
        <f>E201+P201</f>
        <v>2161.75</v>
      </c>
      <c r="S201" s="53">
        <f>R201*3</f>
        <v>6485.25</v>
      </c>
    </row>
    <row r="202" spans="1:20" s="61" customFormat="1" ht="26.4" customHeight="1" thickBot="1" x14ac:dyDescent="0.3">
      <c r="A202" s="55"/>
      <c r="B202" s="56" t="s">
        <v>59</v>
      </c>
      <c r="C202" s="57">
        <f>SUM(C199:C201)</f>
        <v>1.5</v>
      </c>
      <c r="D202" s="57"/>
      <c r="E202" s="58">
        <f>SUM(E199:E201)</f>
        <v>8206.25</v>
      </c>
      <c r="F202" s="57">
        <f>SUM(F199:F201)</f>
        <v>0</v>
      </c>
      <c r="G202" s="58">
        <f t="shared" si="79"/>
        <v>8206.25</v>
      </c>
      <c r="H202" s="58"/>
      <c r="I202" s="58">
        <f>SUM(I200:I201)</f>
        <v>102.375</v>
      </c>
      <c r="J202" s="58"/>
      <c r="K202" s="58">
        <f>SUM(K199:K201)</f>
        <v>1894.5</v>
      </c>
      <c r="L202" s="58">
        <f>SUM(L199:L201)</f>
        <v>5290.5</v>
      </c>
      <c r="M202" s="58"/>
      <c r="N202" s="58"/>
      <c r="O202" s="58"/>
      <c r="P202" s="58">
        <f>P200+P201</f>
        <v>2432.25</v>
      </c>
      <c r="Q202" s="58"/>
      <c r="R202" s="58">
        <f>SUM(R199:R201)</f>
        <v>17925.875</v>
      </c>
      <c r="S202" s="64">
        <f>SUM(S199:S201)</f>
        <v>85305.875</v>
      </c>
    </row>
    <row r="203" spans="1:20" ht="22.2" customHeight="1" x14ac:dyDescent="0.25">
      <c r="A203" s="108"/>
      <c r="B203" s="99" t="s">
        <v>292</v>
      </c>
      <c r="C203" s="65"/>
      <c r="D203" s="65"/>
      <c r="E203" s="66"/>
      <c r="F203" s="65"/>
      <c r="G203" s="66"/>
      <c r="H203" s="66"/>
      <c r="I203" s="66"/>
      <c r="J203" s="66"/>
      <c r="K203" s="66"/>
      <c r="L203" s="66"/>
      <c r="M203" s="66"/>
      <c r="N203" s="66"/>
      <c r="O203" s="66"/>
      <c r="P203" s="66"/>
      <c r="Q203" s="66"/>
      <c r="R203" s="66"/>
      <c r="S203" s="90"/>
    </row>
    <row r="204" spans="1:20" x14ac:dyDescent="0.25">
      <c r="A204" s="48" t="s">
        <v>293</v>
      </c>
      <c r="B204" s="49" t="s">
        <v>280</v>
      </c>
      <c r="C204" s="50">
        <v>1</v>
      </c>
      <c r="D204" s="50">
        <v>10</v>
      </c>
      <c r="E204" s="51">
        <f>6315*C204</f>
        <v>6315</v>
      </c>
      <c r="F204" s="50"/>
      <c r="G204" s="51">
        <f t="shared" ref="G204:G207" si="80">E204+F204</f>
        <v>6315</v>
      </c>
      <c r="H204" s="51"/>
      <c r="I204" s="51"/>
      <c r="J204" s="51"/>
      <c r="K204" s="51">
        <f>G204*0.3</f>
        <v>1894.5</v>
      </c>
      <c r="L204" s="51">
        <f>13500-G204-K204</f>
        <v>5290.5</v>
      </c>
      <c r="M204" s="51"/>
      <c r="N204" s="51"/>
      <c r="O204" s="51"/>
      <c r="P204" s="51"/>
      <c r="Q204" s="51"/>
      <c r="R204" s="51">
        <f>G204+K204+L204</f>
        <v>13500</v>
      </c>
      <c r="S204" s="53">
        <f>R204*5</f>
        <v>67500</v>
      </c>
    </row>
    <row r="205" spans="1:20" x14ac:dyDescent="0.25">
      <c r="A205" s="48" t="s">
        <v>294</v>
      </c>
      <c r="B205" s="49" t="s">
        <v>145</v>
      </c>
      <c r="C205" s="50">
        <v>0.25</v>
      </c>
      <c r="D205" s="50">
        <v>3</v>
      </c>
      <c r="E205" s="51">
        <f>4095*C205</f>
        <v>1023.75</v>
      </c>
      <c r="F205" s="50"/>
      <c r="G205" s="51">
        <f t="shared" si="80"/>
        <v>1023.75</v>
      </c>
      <c r="H205" s="51"/>
      <c r="I205" s="51">
        <f>G205*0.1</f>
        <v>102.375</v>
      </c>
      <c r="J205" s="51"/>
      <c r="K205" s="51"/>
      <c r="L205" s="51"/>
      <c r="M205" s="51"/>
      <c r="N205" s="51"/>
      <c r="O205" s="51"/>
      <c r="P205" s="51">
        <f>8647*0.25-G205</f>
        <v>1138</v>
      </c>
      <c r="Q205" s="51"/>
      <c r="R205" s="51">
        <f>E205+I205+P205</f>
        <v>2264.125</v>
      </c>
      <c r="S205" s="53">
        <f>R205*5</f>
        <v>11320.625</v>
      </c>
    </row>
    <row r="206" spans="1:20" s="71" customFormat="1" x14ac:dyDescent="0.25">
      <c r="A206" s="48" t="s">
        <v>295</v>
      </c>
      <c r="B206" s="49" t="s">
        <v>283</v>
      </c>
      <c r="C206" s="50">
        <v>0.25</v>
      </c>
      <c r="D206" s="50">
        <v>1</v>
      </c>
      <c r="E206" s="51">
        <f>3470*C206</f>
        <v>867.5</v>
      </c>
      <c r="F206" s="50"/>
      <c r="G206" s="51">
        <f t="shared" si="80"/>
        <v>867.5</v>
      </c>
      <c r="H206" s="51"/>
      <c r="I206" s="51"/>
      <c r="J206" s="51"/>
      <c r="K206" s="51"/>
      <c r="L206" s="51"/>
      <c r="M206" s="51"/>
      <c r="N206" s="51"/>
      <c r="O206" s="51"/>
      <c r="P206" s="51">
        <f>8647*0.25-G206</f>
        <v>1294.25</v>
      </c>
      <c r="Q206" s="51"/>
      <c r="R206" s="51">
        <f>E206+P206</f>
        <v>2161.75</v>
      </c>
      <c r="S206" s="53">
        <f>R206*3</f>
        <v>6485.25</v>
      </c>
    </row>
    <row r="207" spans="1:20" s="61" customFormat="1" ht="28.2" customHeight="1" thickBot="1" x14ac:dyDescent="0.3">
      <c r="A207" s="55"/>
      <c r="B207" s="56" t="s">
        <v>59</v>
      </c>
      <c r="C207" s="57">
        <f>SUM(C204:C206)</f>
        <v>1.5</v>
      </c>
      <c r="D207" s="57"/>
      <c r="E207" s="58">
        <f>SUM(E204:E206)</f>
        <v>8206.25</v>
      </c>
      <c r="F207" s="57">
        <f>SUM(F204:F206)</f>
        <v>0</v>
      </c>
      <c r="G207" s="58">
        <f t="shared" si="80"/>
        <v>8206.25</v>
      </c>
      <c r="H207" s="58"/>
      <c r="I207" s="58">
        <f>SUM(I205:I206)</f>
        <v>102.375</v>
      </c>
      <c r="J207" s="58"/>
      <c r="K207" s="58">
        <f>K204</f>
        <v>1894.5</v>
      </c>
      <c r="L207" s="58">
        <f>SUM(L204:L206)</f>
        <v>5290.5</v>
      </c>
      <c r="M207" s="58"/>
      <c r="N207" s="58"/>
      <c r="O207" s="58"/>
      <c r="P207" s="58">
        <f>P205+P206</f>
        <v>2432.25</v>
      </c>
      <c r="Q207" s="58"/>
      <c r="R207" s="58">
        <f>SUM(R204:R206)</f>
        <v>17925.875</v>
      </c>
      <c r="S207" s="64">
        <f>SUM(S204:S206)</f>
        <v>85305.875</v>
      </c>
    </row>
    <row r="208" spans="1:20" ht="24" customHeight="1" x14ac:dyDescent="0.25">
      <c r="A208" s="108"/>
      <c r="B208" s="99" t="s">
        <v>296</v>
      </c>
      <c r="C208" s="65"/>
      <c r="D208" s="65"/>
      <c r="E208" s="66"/>
      <c r="F208" s="65"/>
      <c r="G208" s="66"/>
      <c r="H208" s="66"/>
      <c r="I208" s="66"/>
      <c r="J208" s="66"/>
      <c r="K208" s="66"/>
      <c r="L208" s="66"/>
      <c r="M208" s="66"/>
      <c r="N208" s="66"/>
      <c r="O208" s="66"/>
      <c r="P208" s="66"/>
      <c r="Q208" s="66"/>
      <c r="R208" s="66"/>
      <c r="S208" s="90"/>
    </row>
    <row r="209" spans="1:19" x14ac:dyDescent="0.25">
      <c r="A209" s="48" t="s">
        <v>297</v>
      </c>
      <c r="B209" s="49" t="s">
        <v>141</v>
      </c>
      <c r="C209" s="50">
        <v>0.5</v>
      </c>
      <c r="D209" s="50">
        <v>8</v>
      </c>
      <c r="E209" s="51">
        <f>5691*C209</f>
        <v>2845.5</v>
      </c>
      <c r="F209" s="50"/>
      <c r="G209" s="51">
        <f t="shared" ref="G209:G211" si="81">E209+F209</f>
        <v>2845.5</v>
      </c>
      <c r="H209" s="51"/>
      <c r="I209" s="51"/>
      <c r="J209" s="51"/>
      <c r="K209" s="51">
        <f>G209*0.3</f>
        <v>853.65</v>
      </c>
      <c r="L209" s="51">
        <f>R209-K209-G209</f>
        <v>3050.8500000000004</v>
      </c>
      <c r="M209" s="51"/>
      <c r="N209" s="51"/>
      <c r="O209" s="51"/>
      <c r="P209" s="51"/>
      <c r="Q209" s="51"/>
      <c r="R209" s="51">
        <v>6750</v>
      </c>
      <c r="S209" s="53">
        <f>R209*5</f>
        <v>33750</v>
      </c>
    </row>
    <row r="210" spans="1:19" s="71" customFormat="1" x14ac:dyDescent="0.25">
      <c r="A210" s="48" t="s">
        <v>298</v>
      </c>
      <c r="B210" s="49" t="s">
        <v>145</v>
      </c>
      <c r="C210" s="50">
        <v>0.5</v>
      </c>
      <c r="D210" s="50">
        <v>3</v>
      </c>
      <c r="E210" s="51">
        <f>4095*C210</f>
        <v>2047.5</v>
      </c>
      <c r="F210" s="50"/>
      <c r="G210" s="51">
        <f t="shared" si="81"/>
        <v>2047.5</v>
      </c>
      <c r="H210" s="51"/>
      <c r="I210" s="51">
        <f>G210*0.1</f>
        <v>204.75</v>
      </c>
      <c r="J210" s="51"/>
      <c r="K210" s="51"/>
      <c r="L210" s="51"/>
      <c r="M210" s="51"/>
      <c r="N210" s="51"/>
      <c r="O210" s="51"/>
      <c r="P210" s="51">
        <f>8647/2-G210</f>
        <v>2276</v>
      </c>
      <c r="Q210" s="51"/>
      <c r="R210" s="51">
        <f>SUM(G210:Q210)</f>
        <v>4528.25</v>
      </c>
      <c r="S210" s="53">
        <f>R210*5</f>
        <v>22641.25</v>
      </c>
    </row>
    <row r="211" spans="1:19" s="61" customFormat="1" ht="25.8" customHeight="1" thickBot="1" x14ac:dyDescent="0.3">
      <c r="A211" s="55"/>
      <c r="B211" s="56" t="s">
        <v>59</v>
      </c>
      <c r="C211" s="57">
        <f>SUM(C209:C210)</f>
        <v>1</v>
      </c>
      <c r="D211" s="57"/>
      <c r="E211" s="58">
        <f>SUM(E209:E210)</f>
        <v>4893</v>
      </c>
      <c r="F211" s="57">
        <f>SUM(F209:F210)</f>
        <v>0</v>
      </c>
      <c r="G211" s="58">
        <f t="shared" si="81"/>
        <v>4893</v>
      </c>
      <c r="H211" s="58"/>
      <c r="I211" s="58">
        <f>SUM(I210)</f>
        <v>204.75</v>
      </c>
      <c r="J211" s="58"/>
      <c r="K211" s="58">
        <f>SUM(K209:K210)</f>
        <v>853.65</v>
      </c>
      <c r="L211" s="58">
        <f>SUM(L209:L210)</f>
        <v>3050.8500000000004</v>
      </c>
      <c r="M211" s="58"/>
      <c r="N211" s="58"/>
      <c r="O211" s="58"/>
      <c r="P211" s="58">
        <f>SUM(P210)</f>
        <v>2276</v>
      </c>
      <c r="Q211" s="58"/>
      <c r="R211" s="58">
        <f>SUM(R209:R210)</f>
        <v>11278.25</v>
      </c>
      <c r="S211" s="64">
        <f>SUM(S209:S210)</f>
        <v>56391.25</v>
      </c>
    </row>
    <row r="212" spans="1:19" ht="22.2" customHeight="1" x14ac:dyDescent="0.25">
      <c r="A212" s="108"/>
      <c r="B212" s="99" t="s">
        <v>299</v>
      </c>
      <c r="C212" s="65"/>
      <c r="D212" s="65"/>
      <c r="E212" s="66"/>
      <c r="F212" s="65"/>
      <c r="G212" s="66"/>
      <c r="H212" s="66"/>
      <c r="I212" s="66"/>
      <c r="J212" s="66"/>
      <c r="K212" s="66"/>
      <c r="L212" s="66"/>
      <c r="M212" s="66"/>
      <c r="N212" s="66"/>
      <c r="O212" s="66"/>
      <c r="P212" s="66"/>
      <c r="Q212" s="66"/>
      <c r="R212" s="66"/>
      <c r="S212" s="90"/>
    </row>
    <row r="213" spans="1:19" s="23" customFormat="1" x14ac:dyDescent="0.25">
      <c r="A213" s="48" t="s">
        <v>300</v>
      </c>
      <c r="B213" s="133" t="s">
        <v>141</v>
      </c>
      <c r="C213" s="50">
        <v>0.5</v>
      </c>
      <c r="D213" s="50">
        <v>10</v>
      </c>
      <c r="E213" s="51">
        <f>6315*C213</f>
        <v>3157.5</v>
      </c>
      <c r="F213" s="50"/>
      <c r="G213" s="51">
        <f t="shared" ref="G213:G216" si="82">E213+F213</f>
        <v>3157.5</v>
      </c>
      <c r="H213" s="51"/>
      <c r="I213" s="51"/>
      <c r="J213" s="51"/>
      <c r="K213" s="51">
        <f>G213*0.3</f>
        <v>947.25</v>
      </c>
      <c r="L213" s="51">
        <f>13500/2-G213-K213</f>
        <v>2645.25</v>
      </c>
      <c r="M213" s="51"/>
      <c r="N213" s="51"/>
      <c r="O213" s="51"/>
      <c r="P213" s="51"/>
      <c r="Q213" s="51"/>
      <c r="R213" s="51">
        <f>G213+K213+L213</f>
        <v>6750</v>
      </c>
      <c r="S213" s="53">
        <f>R213*5</f>
        <v>33750</v>
      </c>
    </row>
    <row r="214" spans="1:19" x14ac:dyDescent="0.25">
      <c r="A214" s="48" t="s">
        <v>301</v>
      </c>
      <c r="B214" s="49" t="s">
        <v>145</v>
      </c>
      <c r="C214" s="50">
        <v>0.5</v>
      </c>
      <c r="D214" s="50">
        <v>3</v>
      </c>
      <c r="E214" s="51">
        <f>4095*C214</f>
        <v>2047.5</v>
      </c>
      <c r="F214" s="50"/>
      <c r="G214" s="51">
        <f t="shared" si="82"/>
        <v>2047.5</v>
      </c>
      <c r="H214" s="51"/>
      <c r="I214" s="51">
        <f>G214*0.1</f>
        <v>204.75</v>
      </c>
      <c r="J214" s="51"/>
      <c r="K214" s="51"/>
      <c r="L214" s="51"/>
      <c r="M214" s="51"/>
      <c r="N214" s="51"/>
      <c r="O214" s="51"/>
      <c r="P214" s="51">
        <f>8647/2-G214</f>
        <v>2276</v>
      </c>
      <c r="Q214" s="51"/>
      <c r="R214" s="51">
        <f>SUM(G214:Q214)</f>
        <v>4528.25</v>
      </c>
      <c r="S214" s="53">
        <f t="shared" ref="S214:S215" si="83">R214*5</f>
        <v>22641.25</v>
      </c>
    </row>
    <row r="215" spans="1:19" x14ac:dyDescent="0.25">
      <c r="A215" s="48" t="s">
        <v>302</v>
      </c>
      <c r="B215" s="49" t="s">
        <v>247</v>
      </c>
      <c r="C215" s="50">
        <v>1</v>
      </c>
      <c r="D215" s="50">
        <v>1</v>
      </c>
      <c r="E215" s="51">
        <f>3470*C215</f>
        <v>3470</v>
      </c>
      <c r="F215" s="50"/>
      <c r="G215" s="51">
        <f t="shared" si="82"/>
        <v>3470</v>
      </c>
      <c r="H215" s="51"/>
      <c r="I215" s="51"/>
      <c r="J215" s="51"/>
      <c r="K215" s="51"/>
      <c r="L215" s="51"/>
      <c r="M215" s="51"/>
      <c r="N215" s="51"/>
      <c r="O215" s="51"/>
      <c r="P215" s="51">
        <f>8647-G215</f>
        <v>5177</v>
      </c>
      <c r="Q215" s="51"/>
      <c r="R215" s="51">
        <f>E215+P215</f>
        <v>8647</v>
      </c>
      <c r="S215" s="53">
        <f t="shared" si="83"/>
        <v>43235</v>
      </c>
    </row>
    <row r="216" spans="1:19" s="93" customFormat="1" ht="26.4" customHeight="1" thickBot="1" x14ac:dyDescent="0.3">
      <c r="A216" s="134"/>
      <c r="B216" s="56" t="s">
        <v>59</v>
      </c>
      <c r="C216" s="57">
        <f>SUM(C213:C215)</f>
        <v>2</v>
      </c>
      <c r="D216" s="57"/>
      <c r="E216" s="58">
        <f>SUM(E213:E215)</f>
        <v>8675</v>
      </c>
      <c r="F216" s="57">
        <f>SUM(F213:F215)</f>
        <v>0</v>
      </c>
      <c r="G216" s="58">
        <f t="shared" si="82"/>
        <v>8675</v>
      </c>
      <c r="H216" s="58"/>
      <c r="I216" s="58">
        <f>SUM(I214:I215)</f>
        <v>204.75</v>
      </c>
      <c r="J216" s="58"/>
      <c r="K216" s="58">
        <f>SUM(K213:K215)</f>
        <v>947.25</v>
      </c>
      <c r="L216" s="58">
        <f>SUM(L213:L215)</f>
        <v>2645.25</v>
      </c>
      <c r="M216" s="58"/>
      <c r="N216" s="58"/>
      <c r="O216" s="58"/>
      <c r="P216" s="58">
        <f>P214+P215</f>
        <v>7453</v>
      </c>
      <c r="Q216" s="58"/>
      <c r="R216" s="58">
        <f>SUM(R213:R215)</f>
        <v>19925.25</v>
      </c>
      <c r="S216" s="64">
        <f>SUM(S213:S215)</f>
        <v>99626.25</v>
      </c>
    </row>
    <row r="217" spans="1:19" ht="21" customHeight="1" x14ac:dyDescent="0.25">
      <c r="A217" s="108"/>
      <c r="B217" s="99" t="s">
        <v>303</v>
      </c>
      <c r="C217" s="65"/>
      <c r="D217" s="65"/>
      <c r="E217" s="66"/>
      <c r="F217" s="65"/>
      <c r="G217" s="66"/>
      <c r="H217" s="66"/>
      <c r="I217" s="66"/>
      <c r="J217" s="66"/>
      <c r="K217" s="66"/>
      <c r="L217" s="66"/>
      <c r="M217" s="66"/>
      <c r="N217" s="66"/>
      <c r="O217" s="66"/>
      <c r="P217" s="66"/>
      <c r="Q217" s="66"/>
      <c r="R217" s="66"/>
      <c r="S217" s="90"/>
    </row>
    <row r="218" spans="1:19" ht="25.2" customHeight="1" x14ac:dyDescent="0.25">
      <c r="A218" s="48" t="s">
        <v>304</v>
      </c>
      <c r="B218" s="49" t="s">
        <v>280</v>
      </c>
      <c r="C218" s="50">
        <v>1</v>
      </c>
      <c r="D218" s="50">
        <v>10</v>
      </c>
      <c r="E218" s="51">
        <f>6315*C218</f>
        <v>6315</v>
      </c>
      <c r="F218" s="50"/>
      <c r="G218" s="51">
        <f t="shared" ref="G218:G222" si="84">E218+F218</f>
        <v>6315</v>
      </c>
      <c r="H218" s="51"/>
      <c r="I218" s="51"/>
      <c r="J218" s="51"/>
      <c r="K218" s="51">
        <f>G218*0.3</f>
        <v>1894.5</v>
      </c>
      <c r="L218" s="51">
        <f>R218-K218-G218</f>
        <v>5290.5</v>
      </c>
      <c r="M218" s="51"/>
      <c r="N218" s="51"/>
      <c r="O218" s="51"/>
      <c r="P218" s="51"/>
      <c r="Q218" s="51"/>
      <c r="R218" s="51">
        <v>13500</v>
      </c>
      <c r="S218" s="53">
        <f>R218*5</f>
        <v>67500</v>
      </c>
    </row>
    <row r="219" spans="1:19" ht="24" customHeight="1" x14ac:dyDescent="0.25">
      <c r="A219" s="48" t="s">
        <v>305</v>
      </c>
      <c r="B219" s="49" t="s">
        <v>141</v>
      </c>
      <c r="C219" s="50">
        <v>1</v>
      </c>
      <c r="D219" s="50">
        <v>7</v>
      </c>
      <c r="E219" s="51">
        <f>5344*C219</f>
        <v>5344</v>
      </c>
      <c r="F219" s="50"/>
      <c r="G219" s="51">
        <f t="shared" si="84"/>
        <v>5344</v>
      </c>
      <c r="H219" s="51"/>
      <c r="I219" s="51">
        <f>G219*0.1</f>
        <v>534.4</v>
      </c>
      <c r="J219" s="51"/>
      <c r="K219" s="51">
        <f>G219*0.3</f>
        <v>1603.2</v>
      </c>
      <c r="L219" s="51">
        <f>13500-G219-I219-K219</f>
        <v>6018.4000000000005</v>
      </c>
      <c r="M219" s="51"/>
      <c r="N219" s="51"/>
      <c r="O219" s="51"/>
      <c r="P219" s="51"/>
      <c r="Q219" s="51"/>
      <c r="R219" s="51">
        <f>G219+I219+K219+L219</f>
        <v>13500</v>
      </c>
      <c r="S219" s="53">
        <f t="shared" ref="S219:S220" si="85">R219*5</f>
        <v>67500</v>
      </c>
    </row>
    <row r="220" spans="1:19" ht="25.2" customHeight="1" x14ac:dyDescent="0.25">
      <c r="A220" s="48" t="s">
        <v>306</v>
      </c>
      <c r="B220" s="49" t="s">
        <v>145</v>
      </c>
      <c r="C220" s="50">
        <v>1</v>
      </c>
      <c r="D220" s="50">
        <v>3</v>
      </c>
      <c r="E220" s="51">
        <f>4095*C220</f>
        <v>4095</v>
      </c>
      <c r="F220" s="50"/>
      <c r="G220" s="51">
        <f t="shared" si="84"/>
        <v>4095</v>
      </c>
      <c r="H220" s="51"/>
      <c r="I220" s="51">
        <f>G220*0.1</f>
        <v>409.5</v>
      </c>
      <c r="J220" s="51"/>
      <c r="K220" s="51"/>
      <c r="L220" s="51"/>
      <c r="M220" s="51"/>
      <c r="N220" s="51"/>
      <c r="O220" s="51"/>
      <c r="P220" s="51">
        <f>8647-G220</f>
        <v>4552</v>
      </c>
      <c r="Q220" s="51"/>
      <c r="R220" s="51">
        <f>SUM(G220:Q220)</f>
        <v>9056.5</v>
      </c>
      <c r="S220" s="53">
        <f t="shared" si="85"/>
        <v>45282.5</v>
      </c>
    </row>
    <row r="221" spans="1:19" ht="31.8" customHeight="1" x14ac:dyDescent="0.25">
      <c r="A221" s="48" t="s">
        <v>307</v>
      </c>
      <c r="B221" s="49" t="s">
        <v>247</v>
      </c>
      <c r="C221" s="50">
        <v>1.5</v>
      </c>
      <c r="D221" s="50">
        <v>1</v>
      </c>
      <c r="E221" s="51">
        <f>3470*C221</f>
        <v>5205</v>
      </c>
      <c r="F221" s="50"/>
      <c r="G221" s="51">
        <f t="shared" si="84"/>
        <v>5205</v>
      </c>
      <c r="H221" s="51"/>
      <c r="I221" s="51"/>
      <c r="J221" s="51"/>
      <c r="K221" s="51"/>
      <c r="L221" s="51"/>
      <c r="M221" s="51"/>
      <c r="N221" s="51"/>
      <c r="O221" s="51"/>
      <c r="P221" s="51">
        <f>8647*C221-G221</f>
        <v>7765.5</v>
      </c>
      <c r="Q221" s="51"/>
      <c r="R221" s="51">
        <f>E221+P221</f>
        <v>12970.5</v>
      </c>
      <c r="S221" s="53">
        <f>R221*3</f>
        <v>38911.5</v>
      </c>
    </row>
    <row r="222" spans="1:19" s="61" customFormat="1" ht="26.4" customHeight="1" thickBot="1" x14ac:dyDescent="0.3">
      <c r="A222" s="55"/>
      <c r="B222" s="56" t="s">
        <v>59</v>
      </c>
      <c r="C222" s="57">
        <f>SUM(C218:C221)</f>
        <v>4.5</v>
      </c>
      <c r="D222" s="57"/>
      <c r="E222" s="58">
        <f>SUM(E218:E221)</f>
        <v>20959</v>
      </c>
      <c r="F222" s="57">
        <f>SUM(F218:F221)</f>
        <v>0</v>
      </c>
      <c r="G222" s="58">
        <f t="shared" si="84"/>
        <v>20959</v>
      </c>
      <c r="H222" s="58"/>
      <c r="I222" s="58">
        <f>SUM(I219:I221)</f>
        <v>943.9</v>
      </c>
      <c r="J222" s="58"/>
      <c r="K222" s="58">
        <f>K218+K219</f>
        <v>3497.7</v>
      </c>
      <c r="L222" s="58">
        <f>L218+L219</f>
        <v>11308.900000000001</v>
      </c>
      <c r="M222" s="58"/>
      <c r="N222" s="58"/>
      <c r="O222" s="58"/>
      <c r="P222" s="58">
        <f>SUM(P218:P221)</f>
        <v>12317.5</v>
      </c>
      <c r="Q222" s="58"/>
      <c r="R222" s="58">
        <f>SUM(R218:R221)</f>
        <v>49027</v>
      </c>
      <c r="S222" s="64">
        <f>SUM(S218:S221)</f>
        <v>219194</v>
      </c>
    </row>
    <row r="223" spans="1:19" s="23" customFormat="1" ht="22.2" customHeight="1" x14ac:dyDescent="0.2">
      <c r="A223" s="44"/>
      <c r="B223" s="99" t="s">
        <v>308</v>
      </c>
      <c r="C223" s="65"/>
      <c r="D223" s="65"/>
      <c r="E223" s="66"/>
      <c r="F223" s="65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66"/>
      <c r="R223" s="66"/>
      <c r="S223" s="90"/>
    </row>
    <row r="224" spans="1:19" ht="24" customHeight="1" x14ac:dyDescent="0.25">
      <c r="A224" s="48" t="s">
        <v>309</v>
      </c>
      <c r="B224" s="49" t="s">
        <v>280</v>
      </c>
      <c r="C224" s="50">
        <v>1</v>
      </c>
      <c r="D224" s="50">
        <v>10</v>
      </c>
      <c r="E224" s="51">
        <f>6315*C224</f>
        <v>6315</v>
      </c>
      <c r="F224" s="50"/>
      <c r="G224" s="51">
        <f t="shared" ref="G224:G226" si="86">E224+F224</f>
        <v>6315</v>
      </c>
      <c r="H224" s="51"/>
      <c r="I224" s="51"/>
      <c r="J224" s="51"/>
      <c r="K224" s="51">
        <f>G224*0.3</f>
        <v>1894.5</v>
      </c>
      <c r="L224" s="51">
        <f>R224-K224-G224</f>
        <v>5290.5</v>
      </c>
      <c r="M224" s="51"/>
      <c r="N224" s="51"/>
      <c r="O224" s="51"/>
      <c r="P224" s="51"/>
      <c r="Q224" s="51"/>
      <c r="R224" s="51">
        <v>13500</v>
      </c>
      <c r="S224" s="53">
        <f>R224*5</f>
        <v>67500</v>
      </c>
    </row>
    <row r="225" spans="1:20" s="71" customFormat="1" ht="25.8" customHeight="1" x14ac:dyDescent="0.25">
      <c r="A225" s="48" t="s">
        <v>310</v>
      </c>
      <c r="B225" s="49" t="s">
        <v>145</v>
      </c>
      <c r="C225" s="50">
        <v>0.5</v>
      </c>
      <c r="D225" s="50">
        <v>3</v>
      </c>
      <c r="E225" s="51">
        <f>4095*C225</f>
        <v>2047.5</v>
      </c>
      <c r="F225" s="50"/>
      <c r="G225" s="51">
        <f t="shared" si="86"/>
        <v>2047.5</v>
      </c>
      <c r="H225" s="51"/>
      <c r="I225" s="51">
        <f>G225*0.1</f>
        <v>204.75</v>
      </c>
      <c r="J225" s="51"/>
      <c r="K225" s="51"/>
      <c r="L225" s="51"/>
      <c r="M225" s="51"/>
      <c r="N225" s="51"/>
      <c r="O225" s="51"/>
      <c r="P225" s="51">
        <f>8647/2-G225</f>
        <v>2276</v>
      </c>
      <c r="Q225" s="51"/>
      <c r="R225" s="51">
        <f>SUM(G225:Q225)</f>
        <v>4528.25</v>
      </c>
      <c r="S225" s="53">
        <f>R225*5</f>
        <v>22641.25</v>
      </c>
      <c r="T225" s="91"/>
    </row>
    <row r="226" spans="1:20" s="61" customFormat="1" ht="27.6" customHeight="1" thickBot="1" x14ac:dyDescent="0.3">
      <c r="A226" s="55"/>
      <c r="B226" s="56" t="s">
        <v>59</v>
      </c>
      <c r="C226" s="57">
        <f>SUM(C224:C225)</f>
        <v>1.5</v>
      </c>
      <c r="D226" s="57"/>
      <c r="E226" s="58">
        <f>SUM(E224:E225)</f>
        <v>8362.5</v>
      </c>
      <c r="F226" s="57">
        <f>SUM(F224:F225)</f>
        <v>0</v>
      </c>
      <c r="G226" s="58">
        <f t="shared" si="86"/>
        <v>8362.5</v>
      </c>
      <c r="H226" s="58"/>
      <c r="I226" s="58">
        <f>SUM(I225)</f>
        <v>204.75</v>
      </c>
      <c r="J226" s="58"/>
      <c r="K226" s="58">
        <f>SUM(K224:K225)</f>
        <v>1894.5</v>
      </c>
      <c r="L226" s="58">
        <f>SUM(L224:L225)</f>
        <v>5290.5</v>
      </c>
      <c r="M226" s="58"/>
      <c r="N226" s="58"/>
      <c r="O226" s="58"/>
      <c r="P226" s="58">
        <f>SUM(P225)</f>
        <v>2276</v>
      </c>
      <c r="Q226" s="58"/>
      <c r="R226" s="58">
        <f>SUM(R224:R225)</f>
        <v>18028.25</v>
      </c>
      <c r="S226" s="64">
        <f>SUM(S224:S225)</f>
        <v>90141.25</v>
      </c>
    </row>
    <row r="227" spans="1:20" ht="22.2" customHeight="1" x14ac:dyDescent="0.25">
      <c r="A227" s="108"/>
      <c r="B227" s="99" t="s">
        <v>311</v>
      </c>
      <c r="C227" s="65"/>
      <c r="D227" s="65"/>
      <c r="E227" s="66"/>
      <c r="F227" s="65"/>
      <c r="G227" s="66"/>
      <c r="H227" s="66"/>
      <c r="I227" s="66"/>
      <c r="J227" s="66"/>
      <c r="K227" s="66"/>
      <c r="L227" s="66"/>
      <c r="M227" s="66"/>
      <c r="N227" s="66"/>
      <c r="O227" s="66"/>
      <c r="P227" s="66"/>
      <c r="Q227" s="66"/>
      <c r="R227" s="66"/>
      <c r="S227" s="90"/>
    </row>
    <row r="228" spans="1:20" ht="31.2" customHeight="1" x14ac:dyDescent="0.25">
      <c r="A228" s="48" t="s">
        <v>312</v>
      </c>
      <c r="B228" s="49" t="s">
        <v>141</v>
      </c>
      <c r="C228" s="50">
        <v>0.5</v>
      </c>
      <c r="D228" s="50">
        <v>10</v>
      </c>
      <c r="E228" s="51">
        <f>6315*C228</f>
        <v>3157.5</v>
      </c>
      <c r="F228" s="50"/>
      <c r="G228" s="51">
        <f t="shared" ref="G228:G229" si="87">E228+F228</f>
        <v>3157.5</v>
      </c>
      <c r="H228" s="51"/>
      <c r="I228" s="51"/>
      <c r="J228" s="51"/>
      <c r="K228" s="51">
        <f>G228*0.3</f>
        <v>947.25</v>
      </c>
      <c r="L228" s="51">
        <f>13500/2-G228-K228</f>
        <v>2645.25</v>
      </c>
      <c r="M228" s="51"/>
      <c r="N228" s="51"/>
      <c r="O228" s="51"/>
      <c r="P228" s="51"/>
      <c r="Q228" s="51"/>
      <c r="R228" s="51">
        <f>G228+K228+L228</f>
        <v>6750</v>
      </c>
      <c r="S228" s="53">
        <f>R228*5</f>
        <v>33750</v>
      </c>
    </row>
    <row r="229" spans="1:20" s="61" customFormat="1" ht="25.8" customHeight="1" thickBot="1" x14ac:dyDescent="0.3">
      <c r="A229" s="55"/>
      <c r="B229" s="56" t="s">
        <v>59</v>
      </c>
      <c r="C229" s="57">
        <f>SUM(C228:C228)</f>
        <v>0.5</v>
      </c>
      <c r="D229" s="57"/>
      <c r="E229" s="58">
        <f>SUM(E228:E228)</f>
        <v>3157.5</v>
      </c>
      <c r="F229" s="57">
        <f>SUM(F228:F228)</f>
        <v>0</v>
      </c>
      <c r="G229" s="58">
        <f t="shared" si="87"/>
        <v>3157.5</v>
      </c>
      <c r="H229" s="58"/>
      <c r="I229" s="58">
        <v>0</v>
      </c>
      <c r="J229" s="58"/>
      <c r="K229" s="58">
        <f>SUM(K228:K228)</f>
        <v>947.25</v>
      </c>
      <c r="L229" s="58">
        <f>SUM(L228:L228)</f>
        <v>2645.25</v>
      </c>
      <c r="M229" s="58"/>
      <c r="N229" s="58"/>
      <c r="O229" s="58"/>
      <c r="P229" s="58">
        <v>0</v>
      </c>
      <c r="Q229" s="58"/>
      <c r="R229" s="58">
        <f>SUM(R228:R228)</f>
        <v>6750</v>
      </c>
      <c r="S229" s="64">
        <f>SUM(S228:S228)</f>
        <v>33750</v>
      </c>
    </row>
    <row r="230" spans="1:20" ht="18.600000000000001" customHeight="1" x14ac:dyDescent="0.25">
      <c r="A230" s="108"/>
      <c r="B230" s="99" t="s">
        <v>313</v>
      </c>
      <c r="C230" s="65"/>
      <c r="D230" s="65"/>
      <c r="E230" s="66"/>
      <c r="F230" s="65"/>
      <c r="G230" s="66"/>
      <c r="H230" s="66"/>
      <c r="I230" s="66"/>
      <c r="J230" s="66"/>
      <c r="K230" s="66"/>
      <c r="L230" s="66"/>
      <c r="M230" s="66"/>
      <c r="N230" s="66"/>
      <c r="O230" s="66"/>
      <c r="P230" s="66"/>
      <c r="Q230" s="66"/>
      <c r="R230" s="66"/>
      <c r="S230" s="90"/>
    </row>
    <row r="231" spans="1:20" x14ac:dyDescent="0.25">
      <c r="A231" s="48" t="s">
        <v>314</v>
      </c>
      <c r="B231" s="49" t="s">
        <v>141</v>
      </c>
      <c r="C231" s="50">
        <v>0.5</v>
      </c>
      <c r="D231" s="50">
        <v>10</v>
      </c>
      <c r="E231" s="51">
        <f>6315*C231</f>
        <v>3157.5</v>
      </c>
      <c r="F231" s="50"/>
      <c r="G231" s="51">
        <f t="shared" ref="G231:G233" si="88">E231+F231</f>
        <v>3157.5</v>
      </c>
      <c r="H231" s="51"/>
      <c r="I231" s="51"/>
      <c r="J231" s="51"/>
      <c r="K231" s="51">
        <f>G231*0.3</f>
        <v>947.25</v>
      </c>
      <c r="L231" s="51">
        <f>13500/2-G231-K231</f>
        <v>2645.25</v>
      </c>
      <c r="M231" s="51"/>
      <c r="N231" s="51"/>
      <c r="O231" s="51"/>
      <c r="P231" s="51"/>
      <c r="Q231" s="51"/>
      <c r="R231" s="51">
        <f>G231+K231+L231</f>
        <v>6750</v>
      </c>
      <c r="S231" s="53">
        <f>R231*5</f>
        <v>33750</v>
      </c>
    </row>
    <row r="232" spans="1:20" s="71" customFormat="1" x14ac:dyDescent="0.25">
      <c r="A232" s="48" t="s">
        <v>315</v>
      </c>
      <c r="B232" s="49" t="s">
        <v>145</v>
      </c>
      <c r="C232" s="50">
        <v>0.25</v>
      </c>
      <c r="D232" s="50">
        <v>3</v>
      </c>
      <c r="E232" s="51">
        <f>4095*C232</f>
        <v>1023.75</v>
      </c>
      <c r="F232" s="50"/>
      <c r="G232" s="51">
        <f t="shared" si="88"/>
        <v>1023.75</v>
      </c>
      <c r="H232" s="51"/>
      <c r="I232" s="51">
        <f>G232*0.1</f>
        <v>102.375</v>
      </c>
      <c r="J232" s="51"/>
      <c r="K232" s="51"/>
      <c r="L232" s="51"/>
      <c r="M232" s="51"/>
      <c r="N232" s="51"/>
      <c r="O232" s="51"/>
      <c r="P232" s="51">
        <f>8647*0.25-G232</f>
        <v>1138</v>
      </c>
      <c r="Q232" s="51"/>
      <c r="R232" s="51">
        <f>E232+I232+P232</f>
        <v>2264.125</v>
      </c>
      <c r="S232" s="53">
        <f>R232*5</f>
        <v>11320.625</v>
      </c>
    </row>
    <row r="233" spans="1:20" s="61" customFormat="1" ht="27" customHeight="1" thickBot="1" x14ac:dyDescent="0.3">
      <c r="A233" s="55"/>
      <c r="B233" s="56" t="s">
        <v>59</v>
      </c>
      <c r="C233" s="57">
        <f>SUM(C231:C232)</f>
        <v>0.75</v>
      </c>
      <c r="D233" s="57"/>
      <c r="E233" s="58">
        <f>SUM(E231:E232)</f>
        <v>4181.25</v>
      </c>
      <c r="F233" s="57">
        <f>SUM(F231:F232)</f>
        <v>0</v>
      </c>
      <c r="G233" s="58">
        <f t="shared" si="88"/>
        <v>4181.25</v>
      </c>
      <c r="H233" s="58"/>
      <c r="I233" s="58">
        <f>SUM(I232)</f>
        <v>102.375</v>
      </c>
      <c r="J233" s="58"/>
      <c r="K233" s="58">
        <f>SUM(K231:K232)</f>
        <v>947.25</v>
      </c>
      <c r="L233" s="58">
        <f>SUM(L231:L232)</f>
        <v>2645.25</v>
      </c>
      <c r="M233" s="58"/>
      <c r="N233" s="58"/>
      <c r="O233" s="58"/>
      <c r="P233" s="58">
        <f>SUM(P232)</f>
        <v>1138</v>
      </c>
      <c r="Q233" s="58"/>
      <c r="R233" s="58">
        <f>SUM(R231:R232)</f>
        <v>9014.125</v>
      </c>
      <c r="S233" s="64">
        <f>SUM(S231:S232)</f>
        <v>45070.625</v>
      </c>
    </row>
    <row r="234" spans="1:20" s="93" customFormat="1" ht="23.25" customHeight="1" thickBot="1" x14ac:dyDescent="0.3">
      <c r="A234" s="135"/>
      <c r="B234" s="136" t="s">
        <v>316</v>
      </c>
      <c r="C234" s="137">
        <f>C27+C38+C46+C41+C55+C61+C81+C128+C112+C118+C141+C152+C158+C165+C172+C181+C186+C226+C222+C216+C202+C207+C229+C233+C192+C211+C197+C145+C122</f>
        <v>191.5</v>
      </c>
      <c r="D234" s="138"/>
      <c r="E234" s="137">
        <f t="shared" ref="E234:S234" si="89">E27+E38+E46+E41+E55+E61+E81+E128+E112+E118+E141+E152+E158+E165+E172+E181+E186+E222+E226+E216+E202+E207+E229+E192+E211+E197+E145+E233+E122</f>
        <v>1184272.25</v>
      </c>
      <c r="F234" s="137">
        <f t="shared" si="89"/>
        <v>31740.262500000001</v>
      </c>
      <c r="G234" s="137">
        <f t="shared" si="89"/>
        <v>1216012.5125</v>
      </c>
      <c r="H234" s="137">
        <f t="shared" si="89"/>
        <v>24689.25</v>
      </c>
      <c r="I234" s="137">
        <f t="shared" si="89"/>
        <v>29433.47625</v>
      </c>
      <c r="J234" s="137">
        <f t="shared" si="89"/>
        <v>534.096</v>
      </c>
      <c r="K234" s="137">
        <f t="shared" si="89"/>
        <v>240308.68874999997</v>
      </c>
      <c r="L234" s="137">
        <f t="shared" si="89"/>
        <v>791728.30500000005</v>
      </c>
      <c r="M234" s="137">
        <f t="shared" si="89"/>
        <v>0</v>
      </c>
      <c r="N234" s="137">
        <f t="shared" si="89"/>
        <v>24101.690000000002</v>
      </c>
      <c r="O234" s="137">
        <f t="shared" si="89"/>
        <v>147608.75</v>
      </c>
      <c r="P234" s="137">
        <f t="shared" si="89"/>
        <v>267105</v>
      </c>
      <c r="Q234" s="137">
        <f t="shared" si="89"/>
        <v>0</v>
      </c>
      <c r="R234" s="137">
        <f t="shared" si="89"/>
        <v>2741521.7684999998</v>
      </c>
      <c r="S234" s="137">
        <f t="shared" si="89"/>
        <v>13629785.842499999</v>
      </c>
    </row>
    <row r="235" spans="1:20" ht="12.6" thickBot="1" x14ac:dyDescent="0.3">
      <c r="F235" s="23"/>
      <c r="I235" s="139"/>
    </row>
    <row r="236" spans="1:20" ht="15.6" customHeight="1" x14ac:dyDescent="0.25">
      <c r="B236" s="140" t="s">
        <v>317</v>
      </c>
      <c r="C236" s="141">
        <f>C48+C49+C57+C58+C59+C64+C65+C66+C67+C68+C69+C124+C125+C83+C84+C85+C86+C87+C88+C89+C99+C94+C90+C91+C97+C95+C93+C92+C100+C98+C103+C114+C115+C134+C130+C135+C136+C147+C154+C160+C167+C174+C175+C176+C183+C142+C70+C71+C72+C73+C74+C120+C121+C96+C101+C102</f>
        <v>49.75</v>
      </c>
      <c r="D236" s="141"/>
      <c r="E236" s="141">
        <f>E48+E49+E57+E58+E59+E64+E65+E66+E67+E68+E69+E124+E125+E83+E84+E85+E86+E87+E88+E89+E99+E94+E90+E91+E97+E95+E93+E92+E100+E98+E103+E114+E115+E134+E130+E135+E136+E147+E154+E160+E167+E174+E175+E176+E183+E142+E70+E71+E72+E73+E74+E120+E121+E96+E101+E102</f>
        <v>377214</v>
      </c>
      <c r="F236" s="141"/>
      <c r="G236" s="141"/>
      <c r="H236" s="141"/>
      <c r="I236" s="141"/>
      <c r="J236" s="141"/>
      <c r="K236" s="141"/>
      <c r="L236" s="141"/>
      <c r="M236" s="141"/>
      <c r="N236" s="141"/>
      <c r="O236" s="141"/>
      <c r="P236" s="141"/>
      <c r="Q236" s="141" t="e">
        <f>Q48+Q49+Q57+Q58+Q59+Q64+Q65+Q66+Q67+Q68+Q69+Q124+Q125+Q83+Q84+Q85+Q86+Q87+Q88+Q89+Q99+Q94+Q90+#REF!+Q91+#REF!+Q97+Q95+Q93+Q92+Q100+Q98+Q103+Q114+Q115+Q134+Q130+Q135+Q136+Q147+Q154+Q160+Q167+Q174+Q175+Q176+Q183+Q142+Q70+Q71+Q72+Q73+Q74+Q120+Q121</f>
        <v>#REF!</v>
      </c>
      <c r="R236" s="141">
        <f>R48+R49+R57+R58+R59+R64+R65+R66+R67+R68+R69+R124+R125+R83+R84+R85+R86+R87+R88+R89+R99+R94+R90+R91+R97+R95+R93+R92+R100+R98+R103+R114+R115+R134+R130+R135+R136+R147+R154+R160+R167+R174+R175+R176+R183+R142+R70+R71+R72+R73+R74+R120+R121+R96+R101+R102</f>
        <v>980000</v>
      </c>
      <c r="S236" s="141">
        <f>S48+S49+S57+S58+S59+S64+S65+S66+S67+S68+S69+S124+S125+S83+S84+S85+S86+S87+S88+S89+S99+S94+S90+S91+S97+S95+S93+S92+S100+S98+S103+S114+S115+S134+S130+S135+S136+S147+S154+S160+S167+S174+S175+S176+S183+S142+S70+S71+S72+S73+S74+S120+S121+S96+S101+S102</f>
        <v>4900000</v>
      </c>
    </row>
    <row r="237" spans="1:20" ht="15.6" customHeight="1" x14ac:dyDescent="0.25">
      <c r="B237" s="142" t="s">
        <v>318</v>
      </c>
      <c r="C237" s="143">
        <f>C17+C50+C54+C75+C76+C77+C126+C104+C107+C108+C105+C106+C109+C116+C131+C137+C138+C139+C148+C155+C156+C161+C162+C168+C169+C177+C178+C184+C219+C218+C224+C213+C199+C204+C228+C189+C209+C194+C143+C231</f>
        <v>69</v>
      </c>
      <c r="D237" s="143"/>
      <c r="E237" s="144">
        <f>E17+E50+E54+E75+E76+E77+E126+E104+E107+E108+E105+E106+E109+E116+E131+E137+E138+E139+E148+E155+E156+E161+E162+E168+E169+E177+E178+E184+E219+E218+E224+E213+E199+E204+E228+E189+E209+E194+E143+E231</f>
        <v>420034.5</v>
      </c>
      <c r="F237" s="143"/>
      <c r="G237" s="143"/>
      <c r="H237" s="143"/>
      <c r="I237" s="143"/>
      <c r="J237" s="143"/>
      <c r="K237" s="143"/>
      <c r="L237" s="143"/>
      <c r="M237" s="143"/>
      <c r="N237" s="143"/>
      <c r="O237" s="143"/>
      <c r="P237" s="143"/>
      <c r="Q237" s="143">
        <f>Q17+Q50+Q54+Q75+Q76+Q77+Q126+Q104+Q107+Q108+Q105+Q106+Q109+Q116+Q131+Q137+Q138+Q139+Q148+Q155+Q156+Q161+Q162+Q168+Q169+Q177+Q178+Q184+Q219+Q218+Q224+Q213+Q199+Q204+Q228+Q189+Q209+Q194+Q143+Q231</f>
        <v>0</v>
      </c>
      <c r="R237" s="143">
        <f>R17+R50+R54+R75+R76+R77+R126+R104+R107+R108+R105+R106+R109+R116+R131+R137+R138+R139+R148+R155+R156+R161+R162+R168+R169+R177+R178+R184+R219+R218+R224+R213+R199+R204+R228+R189+R209+R194+R143+R231</f>
        <v>929177.67999999993</v>
      </c>
      <c r="S237" s="145">
        <f>S17+S50+S54+S75+S76+S77+S126+S104+S107+S108+S105+S106+S109+S116+S131+S137+S138+S139+S148+S155+S156+S161+S162+S168+S169+S177+S178+S184+S219+S218+S224+S213+S199+S204+S228+S189+S209+S194+S143+S231</f>
        <v>4645888.4000000004</v>
      </c>
    </row>
    <row r="238" spans="1:20" ht="15.6" customHeight="1" x14ac:dyDescent="0.25">
      <c r="B238" s="142" t="s">
        <v>319</v>
      </c>
      <c r="C238" s="143">
        <f>C78+C79+C127+C111+C117+C140+C149+C157+C163+C170+C179+C185+C220+C225+C214+C200+C205+C190+C210+C195+C232</f>
        <v>26.75</v>
      </c>
      <c r="D238" s="143"/>
      <c r="E238" s="144">
        <f>E78+E79+E127+E111+E117+E140+E149+E157+E163+E170+E179+E185+E220+E225+E214+E200+E205+E190+E210+E195+E232</f>
        <v>112193.25</v>
      </c>
      <c r="F238" s="143"/>
      <c r="G238" s="143"/>
      <c r="H238" s="143"/>
      <c r="I238" s="143"/>
      <c r="J238" s="143"/>
      <c r="K238" s="143"/>
      <c r="L238" s="143"/>
      <c r="M238" s="143"/>
      <c r="N238" s="143"/>
      <c r="O238" s="143"/>
      <c r="P238" s="143"/>
      <c r="Q238" s="143" t="e">
        <f>Q78+Q79+Q127+Q111+Q117+Q140+Q149+Q157+Q163+Q170+Q179+Q185+Q220+Q225+Q214+Q200+Q205+#REF!+Q190+Q210+Q195+Q232</f>
        <v>#REF!</v>
      </c>
      <c r="R238" s="144">
        <f>R78+R79+R127+R111+R117+R140+R149+R157+R163+R170+R179+R185+R220+R225+R214+R200+R205+R190+R210+R195+R232</f>
        <v>248650.94249999998</v>
      </c>
      <c r="S238" s="146">
        <f>S78+S79+S127+S111+S117+S140+S149+S157+S163+S170+S179+S185+S220+S225+S214+S200+S205+S190+S210+S195+S232</f>
        <v>1243254.7124999999</v>
      </c>
    </row>
    <row r="239" spans="1:20" ht="15.6" customHeight="1" x14ac:dyDescent="0.25">
      <c r="B239" s="142" t="s">
        <v>320</v>
      </c>
      <c r="C239" s="143">
        <f>C14+C15+C16+C18+C19+C20+C21+C22+C23+C24+C25+C26+C29+C31+C32+C33+C35+C36+C37+C43+C44+C45+C40+C51+C53+C60+C80+C110+C150+C151+C164+C171+C180+C221+C215+C201+C206+C191+C196+C144+C34+C30+C52</f>
        <v>46</v>
      </c>
      <c r="D239" s="143"/>
      <c r="E239" s="144">
        <f>E14+E15+E16+E18+E19+E20+E21+E22+E23+E24+E25+E26+E29+E31+E32+E33+E35+E36+E37+E43+E44+E45+E40+E51+E53+E60+E80+E110+E150+E151+E164+E171+E180+E221+E215+E201+E206+E191+E196+E144+E34+E30+E52</f>
        <v>274830.5</v>
      </c>
      <c r="F239" s="143"/>
      <c r="G239" s="143"/>
      <c r="H239" s="143" t="s">
        <v>8</v>
      </c>
      <c r="I239" s="143"/>
      <c r="J239" s="143"/>
      <c r="K239" s="143"/>
      <c r="L239" s="143"/>
      <c r="M239" s="143"/>
      <c r="N239" s="143"/>
      <c r="O239" s="143"/>
      <c r="P239" s="143"/>
      <c r="Q239" s="143">
        <f>Q14+Q15+Q16+Q18+Q19+Q20+Q21+Q22+Q23+Q24+Q25+Q26+Q29+Q31+Q32+Q33+Q35+Q36+Q37+Q43+Q44+Q45+Q40+Q51+Q53+Q60+Q80+Q110+Q150+Q151+Q164+Q171+Q180+Q221+Q215+Q201+Q206+Q191+Q196+Q144+Q34</f>
        <v>0</v>
      </c>
      <c r="R239" s="144">
        <f>R14+R15+R16+R18+R19+R20+R21+R22+R23+R24+R25+R26+R29+R31+R32+R33+R35+R36+R37+R43+R44+R45+R40+R51+R53+R60+R80+R110+R150+R151+R164+R171+R180+R221+R215+R201+R206+R191+R196+R144+R34+R30+R52</f>
        <v>583693.14599999995</v>
      </c>
      <c r="S239" s="144">
        <f>S14+S15+S16+S18+S19+S20+S21+S22+S23+S24+S25+S26+S29+S31+S32+S33+S35+S36+S37+S43+S44+S45+S40+S51+S53+S60+S80+S110+S150+S151+S164+S171+S180+S221+S215+S201+S206+S191+S196+S144+S34+S30+S52</f>
        <v>2840642.73</v>
      </c>
    </row>
    <row r="240" spans="1:20" ht="12.6" thickBot="1" x14ac:dyDescent="0.3">
      <c r="B240" s="147" t="s">
        <v>321</v>
      </c>
      <c r="C240" s="148">
        <f>SUBTOTAL(9,C236:C239)</f>
        <v>191.5</v>
      </c>
      <c r="D240" s="148"/>
      <c r="E240" s="149">
        <f>SUBTOTAL(9,E236:E239)</f>
        <v>1184272.25</v>
      </c>
      <c r="F240" s="148"/>
      <c r="G240" s="148"/>
      <c r="H240" s="148"/>
      <c r="I240" s="148"/>
      <c r="J240" s="148"/>
      <c r="K240" s="148"/>
      <c r="L240" s="148"/>
      <c r="M240" s="148"/>
      <c r="N240" s="148"/>
      <c r="O240" s="148"/>
      <c r="P240" s="148"/>
      <c r="Q240" s="148" t="e">
        <f t="shared" ref="Q240:S240" si="90">SUBTOTAL(9,Q236:Q239)</f>
        <v>#REF!</v>
      </c>
      <c r="R240" s="149">
        <f>R236+R237+R238+R239</f>
        <v>2741521.7685000002</v>
      </c>
      <c r="S240" s="150">
        <f t="shared" si="90"/>
        <v>13629785.842500001</v>
      </c>
    </row>
    <row r="241" spans="2:18" ht="19.95" customHeight="1" x14ac:dyDescent="0.25">
      <c r="R241" s="97"/>
    </row>
    <row r="242" spans="2:18" ht="19.2" customHeight="1" x14ac:dyDescent="0.3">
      <c r="B242" s="151" t="s">
        <v>322</v>
      </c>
      <c r="C242" s="152"/>
      <c r="D242" s="152"/>
      <c r="E242" s="153">
        <f>E240</f>
        <v>1184272.25</v>
      </c>
      <c r="G242" s="154"/>
      <c r="H242" s="155"/>
      <c r="I242" s="156"/>
    </row>
    <row r="243" spans="2:18" x14ac:dyDescent="0.25">
      <c r="B243" s="151" t="s">
        <v>323</v>
      </c>
      <c r="E243" s="100">
        <f>S234+E242</f>
        <v>14814058.092499999</v>
      </c>
    </row>
    <row r="245" spans="2:18" ht="15.6" x14ac:dyDescent="0.3">
      <c r="C245" s="157"/>
      <c r="D245" s="157"/>
      <c r="E245" s="157"/>
      <c r="F245" s="157"/>
      <c r="G245" s="157"/>
      <c r="H245" s="157"/>
      <c r="I245" s="157"/>
      <c r="J245" s="157"/>
    </row>
    <row r="246" spans="2:18" ht="15.6" x14ac:dyDescent="0.3">
      <c r="C246" s="157" t="s">
        <v>324</v>
      </c>
      <c r="D246" s="157"/>
      <c r="E246" s="157"/>
      <c r="F246" s="157"/>
      <c r="G246" s="157"/>
      <c r="H246" s="157" t="s">
        <v>325</v>
      </c>
      <c r="I246" s="157"/>
      <c r="J246" s="157"/>
    </row>
    <row r="247" spans="2:18" ht="15.6" x14ac:dyDescent="0.3">
      <c r="C247" s="157"/>
      <c r="D247" s="157"/>
      <c r="E247" s="157"/>
      <c r="F247" s="157"/>
      <c r="G247" s="157"/>
      <c r="H247" s="157"/>
      <c r="I247" s="157"/>
      <c r="J247" s="157"/>
    </row>
    <row r="248" spans="2:18" ht="15.6" x14ac:dyDescent="0.3">
      <c r="C248" s="157"/>
      <c r="D248" s="157"/>
      <c r="E248" s="157"/>
      <c r="F248" s="157"/>
      <c r="G248" s="157"/>
      <c r="H248" s="157"/>
      <c r="I248" s="157"/>
      <c r="J248" s="157"/>
    </row>
    <row r="249" spans="2:18" ht="15.6" x14ac:dyDescent="0.3">
      <c r="C249" s="16"/>
      <c r="D249" s="16"/>
      <c r="E249" s="16"/>
      <c r="F249" s="157"/>
      <c r="G249" s="157"/>
      <c r="H249" s="157"/>
      <c r="I249" s="157"/>
      <c r="J249" s="157"/>
    </row>
    <row r="250" spans="2:18" ht="15.6" x14ac:dyDescent="0.3">
      <c r="C250" s="157"/>
      <c r="D250" s="158"/>
      <c r="E250" s="158"/>
      <c r="F250" s="157"/>
      <c r="G250" s="157"/>
      <c r="H250" s="157"/>
      <c r="I250" s="157"/>
      <c r="J250" s="157"/>
    </row>
    <row r="251" spans="2:18" ht="15.6" x14ac:dyDescent="0.3">
      <c r="C251" s="157"/>
      <c r="D251" s="157"/>
      <c r="E251" s="157"/>
      <c r="F251" s="157"/>
      <c r="G251" s="157"/>
      <c r="H251" s="157"/>
      <c r="I251" s="157"/>
      <c r="J251" s="157"/>
    </row>
    <row r="252" spans="2:18" ht="15.6" x14ac:dyDescent="0.3">
      <c r="C252" s="157"/>
      <c r="D252" s="157"/>
      <c r="E252" s="157"/>
      <c r="F252" s="157"/>
      <c r="G252" s="157"/>
      <c r="H252" s="157"/>
      <c r="I252" s="157"/>
      <c r="J252" s="157"/>
    </row>
    <row r="253" spans="2:18" ht="15.6" x14ac:dyDescent="0.3">
      <c r="C253" s="157"/>
      <c r="D253" s="157"/>
      <c r="E253" s="157"/>
      <c r="F253" s="157"/>
      <c r="G253" s="157"/>
      <c r="H253" s="157"/>
      <c r="I253" s="157"/>
      <c r="J253" s="157"/>
    </row>
    <row r="254" spans="2:18" ht="15.6" x14ac:dyDescent="0.3">
      <c r="C254" s="157"/>
      <c r="D254" s="157"/>
      <c r="E254" s="157"/>
      <c r="F254" s="157"/>
      <c r="G254" s="157"/>
      <c r="H254" s="157"/>
      <c r="I254" s="157"/>
      <c r="J254" s="157"/>
    </row>
    <row r="255" spans="2:18" ht="15.6" x14ac:dyDescent="0.3">
      <c r="C255" s="16"/>
      <c r="D255" s="17"/>
      <c r="E255" s="17"/>
      <c r="F255" s="157"/>
      <c r="G255" s="157"/>
      <c r="H255" s="157"/>
      <c r="I255" s="157"/>
      <c r="J255" s="157"/>
    </row>
    <row r="256" spans="2:18" ht="15.6" x14ac:dyDescent="0.3">
      <c r="C256" s="157"/>
      <c r="D256" s="158"/>
      <c r="E256" s="158"/>
      <c r="F256" s="157"/>
      <c r="G256" s="157"/>
      <c r="H256" s="157"/>
      <c r="I256" s="157"/>
      <c r="J256" s="157"/>
    </row>
    <row r="257" spans="3:10" ht="15.6" x14ac:dyDescent="0.3">
      <c r="C257" s="157"/>
      <c r="D257" s="157"/>
      <c r="E257" s="157"/>
      <c r="F257" s="157"/>
      <c r="G257" s="157"/>
      <c r="H257" s="157"/>
      <c r="I257" s="157"/>
      <c r="J257" s="157"/>
    </row>
    <row r="258" spans="3:10" ht="15.6" x14ac:dyDescent="0.3">
      <c r="C258" s="157"/>
      <c r="D258" s="157"/>
      <c r="E258" s="157"/>
      <c r="F258" s="157"/>
      <c r="G258" s="157"/>
      <c r="H258" s="157"/>
      <c r="I258" s="157"/>
      <c r="J258" s="157"/>
    </row>
  </sheetData>
  <mergeCells count="29">
    <mergeCell ref="C255:E255"/>
    <mergeCell ref="O11:O12"/>
    <mergeCell ref="P11:P12"/>
    <mergeCell ref="Q11:Q12"/>
    <mergeCell ref="R11:R12"/>
    <mergeCell ref="S11:S12"/>
    <mergeCell ref="C249:E249"/>
    <mergeCell ref="F11:F12"/>
    <mergeCell ref="G11:G12"/>
    <mergeCell ref="H11:K11"/>
    <mergeCell ref="L11:L12"/>
    <mergeCell ref="M11:M12"/>
    <mergeCell ref="N11:N12"/>
    <mergeCell ref="M6:S6"/>
    <mergeCell ref="O8:P8"/>
    <mergeCell ref="S8:AH8"/>
    <mergeCell ref="B9:R9"/>
    <mergeCell ref="B10:R10"/>
    <mergeCell ref="A11:A12"/>
    <mergeCell ref="B11:B12"/>
    <mergeCell ref="C11:C12"/>
    <mergeCell ref="D11:D12"/>
    <mergeCell ref="E11:E12"/>
    <mergeCell ref="B1:S1"/>
    <mergeCell ref="M2:S2"/>
    <mergeCell ref="B3:D3"/>
    <mergeCell ref="M3:S3"/>
    <mergeCell ref="B5:D5"/>
    <mergeCell ref="M5:P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01.08.2026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2026-08-04T13:44:38Z</dcterms:modified>
</cp:coreProperties>
</file>